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C:\Users\zeljko.zugic\Desktop\Предмер радова Ургентни центар\I. РЕКОНСТРУКЦИЈА, САНАЦИЈА И АДАПТАЦИЈА ПОСТОЈЕЋИХ ЛИФТОВА Л1-Л9\"/>
    </mc:Choice>
  </mc:AlternateContent>
  <xr:revisionPtr revIDLastSave="0" documentId="13_ncr:1_{307C965C-7B82-4AA7-8C7A-BFF57E4A8B21}" xr6:coauthVersionLast="44" xr6:coauthVersionMax="45" xr10:uidLastSave="{00000000-0000-0000-0000-000000000000}"/>
  <workbookProtection workbookAlgorithmName="SHA-512" workbookHashValue="rJm1efRhhWg5o7lAjhCatWK3jxNayVLDQXGAgMppbnCgVz6tMq9VLDIXO8iwYwLhIM8YMvX2Kjk4Ql4w89BuGA==" workbookSaltValue="QP+E59FOUzvNmytMsRymvA==" workbookSpinCount="100000" lockStructure="1"/>
  <bookViews>
    <workbookView xWindow="-38510" yWindow="1270" windowWidth="38620" windowHeight="21220" tabRatio="580" activeTab="9" xr2:uid="{00000000-000D-0000-FFFF-FFFF00000000}"/>
  </bookViews>
  <sheets>
    <sheet name="LIFT 1" sheetId="8" r:id="rId1"/>
    <sheet name="LIFT 2" sheetId="9" r:id="rId2"/>
    <sheet name="LIFT 3" sheetId="10" r:id="rId3"/>
    <sheet name="LIFT 4" sheetId="11" r:id="rId4"/>
    <sheet name="LIFT 5" sheetId="12" r:id="rId5"/>
    <sheet name="LIFT 6" sheetId="13" r:id="rId6"/>
    <sheet name="LIFT 7" sheetId="14" r:id="rId7"/>
    <sheet name="LIFT 8" sheetId="15" r:id="rId8"/>
    <sheet name="LIFT 9" sheetId="16" r:id="rId9"/>
    <sheet name="збирна нова" sheetId="17" r:id="rId10"/>
  </sheets>
  <definedNames>
    <definedName name="_xlnm.Print_Area" localSheetId="0">'LIFT 1'!$A$1:$F$172</definedName>
    <definedName name="_xlnm.Print_Area" localSheetId="1">'LIFT 2'!$A$1:$F$171</definedName>
    <definedName name="_xlnm.Print_Area" localSheetId="2">'LIFT 3'!$A$1:$F$173</definedName>
    <definedName name="_xlnm.Print_Area" localSheetId="3">'LIFT 4'!$A$1:$F$170</definedName>
    <definedName name="_xlnm.Print_Area" localSheetId="4">'LIFT 5'!$A$1:$F$144</definedName>
    <definedName name="_xlnm.Print_Area" localSheetId="5">'LIFT 6'!$A$1:$F$153</definedName>
    <definedName name="_xlnm.Print_Area" localSheetId="6">'LIFT 7'!$A$1:$F$128</definedName>
    <definedName name="_xlnm.Print_Area" localSheetId="7">'LIFT 8'!$A$1:$F$102</definedName>
    <definedName name="_xlnm.Print_Area" localSheetId="8">'LIFT 9'!$A$1:$F$104</definedName>
    <definedName name="_xlnm.Print_Area" localSheetId="9">'збирна нова'!$A$1:$F$28</definedName>
    <definedName name="_xlnm.Print_Titles" localSheetId="0">'LIFT 1'!$1:$1</definedName>
    <definedName name="_xlnm.Print_Titles" localSheetId="1">'LIFT 2'!$1:$1</definedName>
    <definedName name="_xlnm.Print_Titles" localSheetId="2">'LIFT 3'!$1:$1</definedName>
    <definedName name="_xlnm.Print_Titles" localSheetId="3">'LIFT 4'!$1:$1</definedName>
    <definedName name="_xlnm.Print_Titles" localSheetId="4">'LIFT 5'!$1:$1</definedName>
    <definedName name="_xlnm.Print_Titles" localSheetId="5">'LIFT 6'!$1:$1</definedName>
    <definedName name="_xlnm.Print_Titles" localSheetId="6">'LIFT 7'!$1:$1</definedName>
    <definedName name="_xlnm.Print_Titles" localSheetId="7">'LIFT 8'!$1:$1</definedName>
    <definedName name="_xlnm.Print_Titles" localSheetId="8">'LIFT 9'!$1:$1</definedName>
    <definedName name="sumapodstanica">#REF!</definedName>
    <definedName name="ukupno_a">#REF!</definedName>
    <definedName name="ukupno_b">#REF!</definedName>
    <definedName name="ukupno_c">#REF!</definedName>
    <definedName name="ukupno_d">#REF!</definedName>
    <definedName name="ukupno_e">#REF!</definedName>
    <definedName name="ukupno_f">#REF!</definedName>
    <definedName name="ukupno_grom">#REF!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11" i="14" l="1"/>
  <c r="F14" i="16" l="1"/>
  <c r="F15" i="16"/>
  <c r="F18" i="16"/>
  <c r="D25" i="16"/>
  <c r="F25" i="16" s="1"/>
  <c r="F30" i="16"/>
  <c r="F40" i="16"/>
  <c r="F53" i="16"/>
  <c r="F63" i="16"/>
  <c r="F65" i="16" s="1"/>
  <c r="F99" i="16" s="1"/>
  <c r="D71" i="16"/>
  <c r="F71" i="16" s="1"/>
  <c r="D73" i="16"/>
  <c r="F73" i="16" s="1"/>
  <c r="D77" i="16"/>
  <c r="F77" i="16" s="1"/>
  <c r="D80" i="16"/>
  <c r="F80" i="16" s="1"/>
  <c r="D86" i="16"/>
  <c r="F86" i="16" s="1"/>
  <c r="F88" i="16" s="1"/>
  <c r="F101" i="16" s="1"/>
  <c r="A96" i="16"/>
  <c r="B96" i="16"/>
  <c r="A97" i="16"/>
  <c r="B97" i="16"/>
  <c r="A98" i="16"/>
  <c r="B98" i="16"/>
  <c r="A99" i="16"/>
  <c r="B99" i="16"/>
  <c r="A100" i="16"/>
  <c r="B100" i="16"/>
  <c r="A101" i="16"/>
  <c r="B101" i="16"/>
  <c r="F14" i="15"/>
  <c r="F15" i="15"/>
  <c r="F18" i="15"/>
  <c r="D25" i="15"/>
  <c r="F25" i="15" s="1"/>
  <c r="F30" i="15"/>
  <c r="F40" i="15"/>
  <c r="F53" i="15"/>
  <c r="F63" i="15"/>
  <c r="F65" i="15" s="1"/>
  <c r="F99" i="15" s="1"/>
  <c r="D71" i="15"/>
  <c r="F71" i="15" s="1"/>
  <c r="D73" i="15"/>
  <c r="F73" i="15" s="1"/>
  <c r="D77" i="15"/>
  <c r="F77" i="15" s="1"/>
  <c r="D80" i="15"/>
  <c r="F80" i="15" s="1"/>
  <c r="D86" i="15"/>
  <c r="F86" i="15" s="1"/>
  <c r="F88" i="15" s="1"/>
  <c r="F101" i="15" s="1"/>
  <c r="A96" i="15"/>
  <c r="B96" i="15"/>
  <c r="A97" i="15"/>
  <c r="B97" i="15"/>
  <c r="A98" i="15"/>
  <c r="B98" i="15"/>
  <c r="A99" i="15"/>
  <c r="B99" i="15"/>
  <c r="A100" i="15"/>
  <c r="B100" i="15"/>
  <c r="A101" i="15"/>
  <c r="B101" i="15"/>
  <c r="F14" i="14"/>
  <c r="F15" i="14"/>
  <c r="F18" i="14"/>
  <c r="D21" i="14"/>
  <c r="F21" i="14" s="1"/>
  <c r="F24" i="14"/>
  <c r="D34" i="14"/>
  <c r="F34" i="14" s="1"/>
  <c r="D38" i="14"/>
  <c r="F38" i="14"/>
  <c r="D41" i="14"/>
  <c r="F41" i="14" s="1"/>
  <c r="F46" i="14"/>
  <c r="F55" i="14"/>
  <c r="F61" i="14"/>
  <c r="D73" i="14"/>
  <c r="F73" i="14" s="1"/>
  <c r="D75" i="14"/>
  <c r="F75" i="14" s="1"/>
  <c r="D83" i="14"/>
  <c r="F83" i="14" s="1"/>
  <c r="D85" i="14"/>
  <c r="F85" i="14" s="1"/>
  <c r="D89" i="14"/>
  <c r="F89" i="14" s="1"/>
  <c r="D92" i="14"/>
  <c r="F92" i="14" s="1"/>
  <c r="D95" i="14"/>
  <c r="F95" i="14" s="1"/>
  <c r="D102" i="14"/>
  <c r="F102" i="14" s="1"/>
  <c r="D105" i="14"/>
  <c r="F105" i="14" s="1"/>
  <c r="F111" i="14"/>
  <c r="F113" i="14" s="1"/>
  <c r="F127" i="14" s="1"/>
  <c r="A121" i="14"/>
  <c r="B121" i="14"/>
  <c r="A122" i="14"/>
  <c r="B122" i="14"/>
  <c r="A123" i="14"/>
  <c r="B123" i="14"/>
  <c r="A124" i="14"/>
  <c r="B124" i="14"/>
  <c r="A125" i="14"/>
  <c r="B125" i="14"/>
  <c r="A126" i="14"/>
  <c r="B126" i="14"/>
  <c r="A127" i="14"/>
  <c r="B127" i="14"/>
  <c r="F14" i="13"/>
  <c r="F15" i="13"/>
  <c r="F18" i="13"/>
  <c r="F19" i="13"/>
  <c r="D23" i="13"/>
  <c r="F23" i="13" s="1"/>
  <c r="D27" i="13"/>
  <c r="F27" i="13" s="1"/>
  <c r="F30" i="13"/>
  <c r="D40" i="13"/>
  <c r="F40" i="13" s="1"/>
  <c r="D44" i="13"/>
  <c r="F44" i="13" s="1"/>
  <c r="F49" i="13"/>
  <c r="F58" i="13"/>
  <c r="F59" i="13"/>
  <c r="F65" i="13"/>
  <c r="F75" i="13"/>
  <c r="F77" i="13" s="1"/>
  <c r="F147" i="13" s="1"/>
  <c r="D87" i="13"/>
  <c r="F87" i="13" s="1"/>
  <c r="D89" i="13"/>
  <c r="F89" i="13" s="1"/>
  <c r="D97" i="13"/>
  <c r="F97" i="13" s="1"/>
  <c r="D99" i="13"/>
  <c r="F99" i="13" s="1"/>
  <c r="D102" i="13"/>
  <c r="F102" i="13" s="1"/>
  <c r="D109" i="13"/>
  <c r="F109" i="13"/>
  <c r="D112" i="13"/>
  <c r="F112" i="13" s="1"/>
  <c r="D123" i="13"/>
  <c r="F123" i="13" s="1"/>
  <c r="D128" i="13"/>
  <c r="F128" i="13" s="1"/>
  <c r="D134" i="13"/>
  <c r="F134" i="13"/>
  <c r="F136" i="13" s="1"/>
  <c r="F152" i="13" s="1"/>
  <c r="A144" i="13"/>
  <c r="B144" i="13"/>
  <c r="A145" i="13"/>
  <c r="B145" i="13"/>
  <c r="A146" i="13"/>
  <c r="B146" i="13"/>
  <c r="A147" i="13"/>
  <c r="B147" i="13"/>
  <c r="A148" i="13"/>
  <c r="B148" i="13"/>
  <c r="A149" i="13"/>
  <c r="B149" i="13"/>
  <c r="A150" i="13"/>
  <c r="B150" i="13"/>
  <c r="A151" i="13"/>
  <c r="B151" i="13"/>
  <c r="A152" i="13"/>
  <c r="B152" i="13"/>
  <c r="F14" i="12"/>
  <c r="F17" i="12"/>
  <c r="D20" i="12"/>
  <c r="F20" i="12" s="1"/>
  <c r="D24" i="12"/>
  <c r="F24" i="12" s="1"/>
  <c r="D28" i="12"/>
  <c r="F28" i="12" s="1"/>
  <c r="F31" i="12"/>
  <c r="F40" i="12"/>
  <c r="F42" i="12" s="1"/>
  <c r="F136" i="12" s="1"/>
  <c r="F49" i="12"/>
  <c r="F55" i="12"/>
  <c r="F65" i="12"/>
  <c r="F67" i="12" s="1"/>
  <c r="F138" i="12" s="1"/>
  <c r="D77" i="12"/>
  <c r="F77" i="12" s="1"/>
  <c r="D79" i="12"/>
  <c r="F79" i="12" s="1"/>
  <c r="D87" i="12"/>
  <c r="F87" i="12" s="1"/>
  <c r="D89" i="12"/>
  <c r="F89" i="12" s="1"/>
  <c r="D93" i="12"/>
  <c r="F93" i="12" s="1"/>
  <c r="D96" i="12"/>
  <c r="F96" i="12" s="1"/>
  <c r="D103" i="12"/>
  <c r="F103" i="12" s="1"/>
  <c r="F105" i="12" s="1"/>
  <c r="F141" i="12" s="1"/>
  <c r="D114" i="12"/>
  <c r="F114" i="12" s="1"/>
  <c r="D119" i="12"/>
  <c r="F119" i="12" s="1"/>
  <c r="D125" i="12"/>
  <c r="F125" i="12" s="1"/>
  <c r="F127" i="12" s="1"/>
  <c r="F143" i="12" s="1"/>
  <c r="A135" i="12"/>
  <c r="B135" i="12"/>
  <c r="A136" i="12"/>
  <c r="B136" i="12"/>
  <c r="A137" i="12"/>
  <c r="B137" i="12"/>
  <c r="A138" i="12"/>
  <c r="B138" i="12"/>
  <c r="A139" i="12"/>
  <c r="B139" i="12"/>
  <c r="A140" i="12"/>
  <c r="B140" i="12"/>
  <c r="A141" i="12"/>
  <c r="B141" i="12"/>
  <c r="A142" i="12"/>
  <c r="B142" i="12"/>
  <c r="A143" i="12"/>
  <c r="B143" i="12"/>
  <c r="F14" i="11"/>
  <c r="F15" i="11"/>
  <c r="F18" i="11"/>
  <c r="D21" i="11"/>
  <c r="F21" i="11" s="1"/>
  <c r="D25" i="11"/>
  <c r="F25" i="11" s="1"/>
  <c r="D29" i="11"/>
  <c r="F29" i="11" s="1"/>
  <c r="F32" i="11"/>
  <c r="F35" i="11"/>
  <c r="D45" i="11"/>
  <c r="F45" i="11" s="1"/>
  <c r="D49" i="11"/>
  <c r="F49" i="11" s="1"/>
  <c r="F54" i="11"/>
  <c r="F63" i="11"/>
  <c r="F69" i="11"/>
  <c r="F79" i="11"/>
  <c r="F81" i="11" s="1"/>
  <c r="F162" i="11" s="1"/>
  <c r="D91" i="11"/>
  <c r="F91" i="11" s="1"/>
  <c r="D93" i="11"/>
  <c r="F93" i="11" s="1"/>
  <c r="D101" i="11"/>
  <c r="F101" i="11"/>
  <c r="D103" i="11"/>
  <c r="F103" i="11" s="1"/>
  <c r="D107" i="11"/>
  <c r="F107" i="11" s="1"/>
  <c r="D110" i="11"/>
  <c r="F110" i="11" s="1"/>
  <c r="D117" i="11"/>
  <c r="F117" i="11" s="1"/>
  <c r="D120" i="11"/>
  <c r="F120" i="11" s="1"/>
  <c r="D131" i="11"/>
  <c r="F131" i="11" s="1"/>
  <c r="D136" i="11"/>
  <c r="F136" i="11" s="1"/>
  <c r="F144" i="11"/>
  <c r="D149" i="11"/>
  <c r="F149" i="11" s="1"/>
  <c r="F151" i="11" s="1"/>
  <c r="F167" i="11" s="1"/>
  <c r="A159" i="11"/>
  <c r="B159" i="11"/>
  <c r="A160" i="11"/>
  <c r="B160" i="11"/>
  <c r="A161" i="11"/>
  <c r="B161" i="11"/>
  <c r="A162" i="11"/>
  <c r="B162" i="11"/>
  <c r="A163" i="11"/>
  <c r="B163" i="11"/>
  <c r="A164" i="11"/>
  <c r="B164" i="11"/>
  <c r="A165" i="11"/>
  <c r="B165" i="11"/>
  <c r="A166" i="11"/>
  <c r="B166" i="11"/>
  <c r="A167" i="11"/>
  <c r="B167" i="11"/>
  <c r="F14" i="10"/>
  <c r="F17" i="10"/>
  <c r="F18" i="10"/>
  <c r="D21" i="10"/>
  <c r="F21" i="10" s="1"/>
  <c r="D24" i="10"/>
  <c r="F24" i="10" s="1"/>
  <c r="D27" i="10"/>
  <c r="F27" i="10" s="1"/>
  <c r="F30" i="10"/>
  <c r="D38" i="10"/>
  <c r="F38" i="10" s="1"/>
  <c r="F40" i="10" s="1"/>
  <c r="F163" i="10" s="1"/>
  <c r="D46" i="10"/>
  <c r="F46" i="10" s="1"/>
  <c r="F48" i="10" s="1"/>
  <c r="F164" i="10" s="1"/>
  <c r="D56" i="10"/>
  <c r="F56" i="10"/>
  <c r="D60" i="10"/>
  <c r="F60" i="10" s="1"/>
  <c r="D63" i="10"/>
  <c r="F63" i="10" s="1"/>
  <c r="F68" i="10"/>
  <c r="F77" i="10"/>
  <c r="F83" i="10"/>
  <c r="F94" i="10"/>
  <c r="F96" i="10" s="1"/>
  <c r="F167" i="10" s="1"/>
  <c r="F106" i="10"/>
  <c r="D108" i="10"/>
  <c r="F108" i="10" s="1"/>
  <c r="F112" i="10"/>
  <c r="F115" i="10"/>
  <c r="F119" i="10"/>
  <c r="D127" i="10"/>
  <c r="F127" i="10" s="1"/>
  <c r="D129" i="10"/>
  <c r="F129" i="10" s="1"/>
  <c r="D133" i="10"/>
  <c r="F133" i="10" s="1"/>
  <c r="D136" i="10"/>
  <c r="F136" i="10" s="1"/>
  <c r="D143" i="10"/>
  <c r="F143" i="10" s="1"/>
  <c r="D146" i="10"/>
  <c r="F146" i="10" s="1"/>
  <c r="D152" i="10"/>
  <c r="F152" i="10" s="1"/>
  <c r="F154" i="10" s="1"/>
  <c r="F171" i="10" s="1"/>
  <c r="A162" i="10"/>
  <c r="B162" i="10"/>
  <c r="A163" i="10"/>
  <c r="B163" i="10"/>
  <c r="A164" i="10"/>
  <c r="B164" i="10"/>
  <c r="A165" i="10"/>
  <c r="B165" i="10"/>
  <c r="A166" i="10"/>
  <c r="B166" i="10"/>
  <c r="A167" i="10"/>
  <c r="B167" i="10"/>
  <c r="A168" i="10"/>
  <c r="B168" i="10"/>
  <c r="A169" i="10"/>
  <c r="B169" i="10"/>
  <c r="A170" i="10"/>
  <c r="B170" i="10"/>
  <c r="A171" i="10"/>
  <c r="B171" i="10"/>
  <c r="F20" i="16" l="1"/>
  <c r="F96" i="16" s="1"/>
  <c r="F55" i="15"/>
  <c r="F98" i="15" s="1"/>
  <c r="F32" i="15"/>
  <c r="F97" i="15" s="1"/>
  <c r="F20" i="15"/>
  <c r="F96" i="15" s="1"/>
  <c r="F85" i="10"/>
  <c r="F166" i="10" s="1"/>
  <c r="F57" i="12"/>
  <c r="F137" i="12" s="1"/>
  <c r="F55" i="16"/>
  <c r="F98" i="16" s="1"/>
  <c r="F67" i="13"/>
  <c r="F146" i="13" s="1"/>
  <c r="F56" i="11"/>
  <c r="F160" i="11" s="1"/>
  <c r="F26" i="14"/>
  <c r="F121" i="14" s="1"/>
  <c r="F51" i="13"/>
  <c r="F145" i="13" s="1"/>
  <c r="F70" i="10"/>
  <c r="F165" i="10" s="1"/>
  <c r="F32" i="10"/>
  <c r="F162" i="10" s="1"/>
  <c r="F145" i="11"/>
  <c r="F166" i="11" s="1"/>
  <c r="F81" i="12"/>
  <c r="F139" i="12" s="1"/>
  <c r="F63" i="14"/>
  <c r="F123" i="14" s="1"/>
  <c r="F107" i="14"/>
  <c r="F126" i="14" s="1"/>
  <c r="F32" i="16"/>
  <c r="F97" i="16" s="1"/>
  <c r="F82" i="16"/>
  <c r="F100" i="16" s="1"/>
  <c r="F82" i="15"/>
  <c r="F100" i="15" s="1"/>
  <c r="F77" i="14"/>
  <c r="F124" i="14" s="1"/>
  <c r="F48" i="14"/>
  <c r="F122" i="14" s="1"/>
  <c r="F97" i="14"/>
  <c r="F125" i="14" s="1"/>
  <c r="F32" i="13"/>
  <c r="F144" i="13" s="1"/>
  <c r="F114" i="13"/>
  <c r="F150" i="13" s="1"/>
  <c r="F91" i="13"/>
  <c r="F148" i="13" s="1"/>
  <c r="F130" i="13"/>
  <c r="F151" i="13" s="1"/>
  <c r="F104" i="13"/>
  <c r="F149" i="13" s="1"/>
  <c r="F98" i="12"/>
  <c r="F140" i="12" s="1"/>
  <c r="F121" i="12"/>
  <c r="F142" i="12" s="1"/>
  <c r="F33" i="12"/>
  <c r="F135" i="12" s="1"/>
  <c r="F37" i="11"/>
  <c r="F159" i="11" s="1"/>
  <c r="F112" i="11"/>
  <c r="F164" i="11" s="1"/>
  <c r="F95" i="11"/>
  <c r="F163" i="11" s="1"/>
  <c r="F71" i="11"/>
  <c r="F161" i="11" s="1"/>
  <c r="F122" i="11"/>
  <c r="F165" i="11" s="1"/>
  <c r="F121" i="10"/>
  <c r="F168" i="10" s="1"/>
  <c r="F148" i="10"/>
  <c r="F170" i="10" s="1"/>
  <c r="F138" i="10"/>
  <c r="F169" i="10" s="1"/>
  <c r="F102" i="15" l="1"/>
  <c r="F22" i="17" s="1"/>
  <c r="F168" i="11"/>
  <c r="F18" i="17" s="1"/>
  <c r="F144" i="12"/>
  <c r="F19" i="17" s="1"/>
  <c r="F128" i="14"/>
  <c r="F21" i="17" s="1"/>
  <c r="F172" i="10"/>
  <c r="F17" i="17" s="1"/>
  <c r="F102" i="16"/>
  <c r="F23" i="17" s="1"/>
  <c r="F153" i="13"/>
  <c r="F20" i="17" s="1"/>
  <c r="F14" i="9" l="1"/>
  <c r="F17" i="9"/>
  <c r="F18" i="9"/>
  <c r="D21" i="9"/>
  <c r="F21" i="9" s="1"/>
  <c r="F24" i="9"/>
  <c r="F27" i="9"/>
  <c r="F30" i="9"/>
  <c r="D38" i="9"/>
  <c r="F38" i="9" s="1"/>
  <c r="F40" i="9" s="1"/>
  <c r="F161" i="9" s="1"/>
  <c r="D46" i="9"/>
  <c r="F46" i="9" s="1"/>
  <c r="F48" i="9" s="1"/>
  <c r="F162" i="9" s="1"/>
  <c r="D56" i="9"/>
  <c r="F56" i="9" s="1"/>
  <c r="D60" i="9"/>
  <c r="F60" i="9" s="1"/>
  <c r="D63" i="9"/>
  <c r="F63" i="9" s="1"/>
  <c r="F68" i="9"/>
  <c r="F77" i="9"/>
  <c r="F78" i="9"/>
  <c r="D81" i="9"/>
  <c r="F81" i="9" s="1"/>
  <c r="D92" i="9"/>
  <c r="F92" i="9"/>
  <c r="F94" i="9" s="1"/>
  <c r="F165" i="9" s="1"/>
  <c r="F104" i="9"/>
  <c r="D106" i="9"/>
  <c r="F106" i="9" s="1"/>
  <c r="F110" i="9"/>
  <c r="F113" i="9"/>
  <c r="F117" i="9"/>
  <c r="D125" i="9"/>
  <c r="F125" i="9" s="1"/>
  <c r="D127" i="9"/>
  <c r="F127" i="9" s="1"/>
  <c r="D131" i="9"/>
  <c r="F131" i="9" s="1"/>
  <c r="D134" i="9"/>
  <c r="F134" i="9" s="1"/>
  <c r="D141" i="9"/>
  <c r="F141" i="9" s="1"/>
  <c r="D144" i="9"/>
  <c r="F144" i="9" s="1"/>
  <c r="D150" i="9"/>
  <c r="F150" i="9"/>
  <c r="F152" i="9" s="1"/>
  <c r="F169" i="9" s="1"/>
  <c r="A160" i="9"/>
  <c r="B160" i="9"/>
  <c r="A161" i="9"/>
  <c r="B161" i="9"/>
  <c r="A162" i="9"/>
  <c r="B162" i="9"/>
  <c r="A163" i="9"/>
  <c r="B163" i="9"/>
  <c r="A164" i="9"/>
  <c r="B164" i="9"/>
  <c r="A165" i="9"/>
  <c r="B165" i="9"/>
  <c r="A166" i="9"/>
  <c r="B166" i="9"/>
  <c r="A167" i="9"/>
  <c r="B167" i="9"/>
  <c r="A168" i="9"/>
  <c r="B168" i="9"/>
  <c r="A169" i="9"/>
  <c r="B169" i="9"/>
  <c r="F136" i="9" l="1"/>
  <c r="F167" i="9" s="1"/>
  <c r="F83" i="9"/>
  <c r="F164" i="9" s="1"/>
  <c r="F119" i="9"/>
  <c r="F166" i="9" s="1"/>
  <c r="F70" i="9"/>
  <c r="F163" i="9" s="1"/>
  <c r="F146" i="9"/>
  <c r="F168" i="9" s="1"/>
  <c r="F32" i="9"/>
  <c r="F160" i="9" s="1"/>
  <c r="D93" i="8"/>
  <c r="F170" i="9" l="1"/>
  <c r="F16" i="17" s="1"/>
  <c r="D126" i="8"/>
  <c r="D21" i="8" l="1"/>
  <c r="B168" i="8" l="1"/>
  <c r="A168" i="8"/>
  <c r="B163" i="8"/>
  <c r="A163" i="8"/>
  <c r="D82" i="8"/>
  <c r="D142" i="8"/>
  <c r="D145" i="8"/>
  <c r="D61" i="8"/>
  <c r="F114" i="8"/>
  <c r="F118" i="8"/>
  <c r="D107" i="8"/>
  <c r="F111" i="8"/>
  <c r="D135" i="8"/>
  <c r="D132" i="8"/>
  <c r="D128" i="8"/>
  <c r="D64" i="8"/>
  <c r="F107" i="8" l="1"/>
  <c r="F105" i="8"/>
  <c r="F120" i="8" s="1"/>
  <c r="F167" i="8" s="1"/>
  <c r="F64" i="8"/>
  <c r="F79" i="8" l="1"/>
  <c r="D57" i="8" l="1"/>
  <c r="D47" i="8" l="1"/>
  <c r="F47" i="8" s="1"/>
  <c r="F49" i="8" s="1"/>
  <c r="F163" i="8" s="1"/>
  <c r="D38" i="8"/>
  <c r="F30" i="8"/>
  <c r="F27" i="8"/>
  <c r="F38" i="8" l="1"/>
  <c r="F41" i="8" s="1"/>
  <c r="F162" i="8" s="1"/>
  <c r="F24" i="8"/>
  <c r="F14" i="8" l="1"/>
  <c r="F18" i="8"/>
  <c r="F17" i="8"/>
  <c r="F69" i="8" l="1"/>
  <c r="D151" i="8" l="1"/>
  <c r="F61" i="8" l="1"/>
  <c r="F128" i="8" l="1"/>
  <c r="F132" i="8"/>
  <c r="B167" i="8" l="1"/>
  <c r="A167" i="8"/>
  <c r="F93" i="8" l="1"/>
  <c r="F95" i="8" s="1"/>
  <c r="F145" i="8" l="1"/>
  <c r="F135" i="8" l="1"/>
  <c r="F126" i="8" l="1"/>
  <c r="F137" i="8" s="1"/>
  <c r="F168" i="8" s="1"/>
  <c r="F151" i="8"/>
  <c r="F153" i="8" s="1"/>
  <c r="F142" i="8" l="1"/>
  <c r="F147" i="8" s="1"/>
  <c r="A164" i="8" l="1"/>
  <c r="B164" i="8"/>
  <c r="F166" i="8" l="1"/>
  <c r="B166" i="8"/>
  <c r="A166" i="8"/>
  <c r="A170" i="8" l="1"/>
  <c r="F21" i="8" l="1"/>
  <c r="F32" i="8" s="1"/>
  <c r="F57" i="8" l="1"/>
  <c r="F71" i="8" s="1"/>
  <c r="F78" i="8" l="1"/>
  <c r="F82" i="8"/>
  <c r="F84" i="8" l="1"/>
  <c r="F164" i="8"/>
  <c r="A161" i="8" l="1"/>
  <c r="B161" i="8"/>
  <c r="A162" i="8"/>
  <c r="B162" i="8"/>
  <c r="A165" i="8"/>
  <c r="B165" i="8"/>
  <c r="A169" i="8"/>
  <c r="B169" i="8"/>
  <c r="B170" i="8"/>
  <c r="F170" i="8" l="1"/>
  <c r="F169" i="8"/>
  <c r="F165" i="8"/>
  <c r="F161" i="8"/>
  <c r="F171" i="8" l="1"/>
  <c r="F15" i="17" s="1"/>
  <c r="F25" i="17" s="1"/>
</calcChain>
</file>

<file path=xl/sharedStrings.xml><?xml version="1.0" encoding="utf-8"?>
<sst xmlns="http://schemas.openxmlformats.org/spreadsheetml/2006/main" count="1577" uniqueCount="339">
  <si>
    <t>ПРЕДМЕР И ПРЕДРАЧУН</t>
  </si>
  <si>
    <t>Бр.</t>
  </si>
  <si>
    <t>Количина</t>
  </si>
  <si>
    <t>ком</t>
  </si>
  <si>
    <t>Опис радова</t>
  </si>
  <si>
    <t>Јединична цена (дин)</t>
  </si>
  <si>
    <t>Цена (дин)</t>
  </si>
  <si>
    <t>А</t>
  </si>
  <si>
    <t>Б</t>
  </si>
  <si>
    <t>АxБ</t>
  </si>
  <si>
    <t>Јед. мере</t>
  </si>
  <si>
    <t>УКУПНО ДЕМОНТАЖНИ РАДОВИ:</t>
  </si>
  <si>
    <t>ДЕМОНТАЖНИ РАДОВИ</t>
  </si>
  <si>
    <t>м²</t>
  </si>
  <si>
    <t>01.01.01.</t>
  </si>
  <si>
    <t>01.01.02.</t>
  </si>
  <si>
    <t>01.01.03.</t>
  </si>
  <si>
    <t>01.01.04.</t>
  </si>
  <si>
    <t>01.01.05.</t>
  </si>
  <si>
    <t>ЗИДАРСКИ РАДОВИ</t>
  </si>
  <si>
    <t>01.02.01.</t>
  </si>
  <si>
    <t>УКУПНО ЗИДАРСКИ РАДОВИ:</t>
  </si>
  <si>
    <t>РАЗНИ РАДОВИ</t>
  </si>
  <si>
    <t xml:space="preserve">01. </t>
  </si>
  <si>
    <t>ПРОЈЕКАТ АРХИТЕКТУРЕ</t>
  </si>
  <si>
    <t>01.01.00.</t>
  </si>
  <si>
    <t>м¹</t>
  </si>
  <si>
    <t>01.03.01.</t>
  </si>
  <si>
    <t>01.03.00.</t>
  </si>
  <si>
    <t>01.02.00.</t>
  </si>
  <si>
    <t>01.04.00.</t>
  </si>
  <si>
    <t>Обрачун по м².</t>
  </si>
  <si>
    <t>01.05.01.</t>
  </si>
  <si>
    <t>01.06.01.</t>
  </si>
  <si>
    <t>Обрачун по комаду уграђене позиције.</t>
  </si>
  <si>
    <t>01.05.00.</t>
  </si>
  <si>
    <t>01.06.00.</t>
  </si>
  <si>
    <t>УКУПНО МОЛЕРСКО ФАРБАРСКИ РАДОВИ:</t>
  </si>
  <si>
    <t>УКУПНО РАЗНИ РАДОВИ:</t>
  </si>
  <si>
    <t>- ПРОЈЕКАТ АРХИТЕКТУРЕ -</t>
  </si>
  <si>
    <t>РЕКАПИТУЛАЦИЈА АРХИТЕКТОНСКО ГРАЂЕВИНСКИ РАДОВИ</t>
  </si>
  <si>
    <t>УКУПНО (рсд):</t>
  </si>
  <si>
    <t>ФАСАДЕРСКИ РАДОВИ</t>
  </si>
  <si>
    <t>01.04.01.</t>
  </si>
  <si>
    <t>01.04.02.</t>
  </si>
  <si>
    <t>Напомена:</t>
  </si>
  <si>
    <t>Оштећења у објекту је проценио пројектант и у односу на ту процену су обрачунати радови демонтаже и рушења. Уз сваку појединачну позицију демонтаже и рушења обрачунати и изношење шута из објекта, утовар у возило, одвоз на депонију удаљену до 20 км и истовар шута из возила.</t>
  </si>
  <si>
    <t>зид дебљине д=12 цм</t>
  </si>
  <si>
    <t>Бетонске елементе пре малтерисања прскати ретким цементним малтером. Малтер дебљине д=2 цм.</t>
  </si>
  <si>
    <t>Обрачун по м², са помоћном скелом.</t>
  </si>
  <si>
    <t>БЕТОНСКИ РАДОВИ</t>
  </si>
  <si>
    <t>УКУПНО БЕТОНСКИ РАДОВИ:</t>
  </si>
  <si>
    <t>01.04.03.</t>
  </si>
  <si>
    <t>Обрачун по м² омалтерисане површине, са свим потребним предрадњама, материјалом и помоћном скелом.</t>
  </si>
  <si>
    <t>Набавка материјала и малтерисање новопројектованих фасадних зидова, продужним малтером размере 1:3:9, у два слоја. Први слој радити од грубог, несејаног малтера, а други слој од просејаног малтера. Дебљине према пројекту.</t>
  </si>
  <si>
    <t>01.08.00.</t>
  </si>
  <si>
    <t>01.08.01.</t>
  </si>
  <si>
    <t>МОЛЕРСКО ФАРБАРСКИ РАДОВИ</t>
  </si>
  <si>
    <t>Обрачун по м², са радном скелом.</t>
  </si>
  <si>
    <t>бојење зидова</t>
  </si>
  <si>
    <t>бојење плафона</t>
  </si>
  <si>
    <t>Обрачун по м² са помоћном скелом.</t>
  </si>
  <si>
    <t>01.07.00.</t>
  </si>
  <si>
    <t>01.07.01.</t>
  </si>
  <si>
    <t>01.07.02.</t>
  </si>
  <si>
    <t>УКУПНО ФАСАДЕРСКИ РАДОВИ:</t>
  </si>
  <si>
    <t>Обрачун по комаду, са утоваром, одвозом и истоваром шута на градску депонију.</t>
  </si>
  <si>
    <t>Обрачун по комаду, са одвожењем шута на депонију.</t>
  </si>
  <si>
    <t>Обрачун по м² са одвозом шута на депонију.</t>
  </si>
  <si>
    <t>Обрачун по м³ са одвозом шута на депонију.</t>
  </si>
  <si>
    <t>м³</t>
  </si>
  <si>
    <t>Набавка материјала и обрада шпалетни продужним малтером, са рабицирањем, уколико је потребно.</t>
  </si>
  <si>
    <t>Обрачун по м¹, са помоћном скелом.</t>
  </si>
  <si>
    <t>БРАВАРСКИ РАДОВИ</t>
  </si>
  <si>
    <t>УКУПНО БРАВАРСКИ РАДОВИ:</t>
  </si>
  <si>
    <t>ЧЕЛИЧНА КОНСТРУКЦИЈА</t>
  </si>
  <si>
    <t>УКУПНО ЧЕЛИЧНА КОНСТРУКЦИЈА:</t>
  </si>
  <si>
    <t>кг</t>
  </si>
  <si>
    <t>Набавка материјала и бојење зидова (шпалетни) полудисперзивном бојом, у тону по избору пројектанта, два пута.</t>
  </si>
  <si>
    <t>Пре бојења глетовати до потпуно равне површине масом за глетовање.</t>
  </si>
  <si>
    <t>Обрачун по м¹, са радном скелом.</t>
  </si>
  <si>
    <t>Набавка материјала и бојење зидова ходника око лифтовских врата након завршетка радова полудисперзивном бојом, у тону по избору пројектанта, два пута.</t>
  </si>
  <si>
    <t>Набавка материјала и бојење зидова  акрилном бојом врсте, квалитета и у тону по избору пројектанта, са свим потребним предрадњама.</t>
  </si>
  <si>
    <t>Завршно чишћење простора након завршетка радова.</t>
  </si>
  <si>
    <t>Набавка материјала и бојење зидова и плафона возног окна лифта и машинске просторије полудисперзивном бојом, у тону по избору пројектанта, два пута.</t>
  </si>
  <si>
    <t xml:space="preserve">Набавка материјала и уградња челичних угаоних профила на углове зиданих зидова код отвора прилазних врата лифтова висине 1,2 м. </t>
  </si>
  <si>
    <t>Обрачун по м¹ уграђених профила.</t>
  </si>
  <si>
    <t>Монтажа челичне конструкције се мора извести у свему према техничкој документацији и важећим прописима за ову врсту радова.</t>
  </si>
  <si>
    <t>Антикорозивна заштита и заштитни површински слој урачунавају се у цене елемената челичне конструкције. Уклањање рђе и наношење основног слоја и међуслоја врши се у производном погону, а наношење завршног слоја на градилишту.</t>
  </si>
  <si>
    <t>Обрачун по кг израђене и финално обрађене конструкције.</t>
  </si>
  <si>
    <t>01.04.04.</t>
  </si>
  <si>
    <t xml:space="preserve">Радити у свему према упутству произвођача, а уз сагласност пројектанта. </t>
  </si>
  <si>
    <t xml:space="preserve">Демонтажа фасадне браварије са демонтирањем штокова, опшава, перваза и парапетних даски. </t>
  </si>
  <si>
    <t>IMP 160</t>
  </si>
  <si>
    <t>01.01.06.</t>
  </si>
  <si>
    <t>Рушење цементне кошуљице у лифт кућици.</t>
  </si>
  <si>
    <t xml:space="preserve">Сав шут прикупити, утоварити у камионе, превести до депоније, истоварити из камиона и грубо испланирати на депонији. </t>
  </si>
  <si>
    <t xml:space="preserve">Дебљина кошуљице према пројекту. </t>
  </si>
  <si>
    <t xml:space="preserve">Горња површина углачана до црног сјаја. </t>
  </si>
  <si>
    <t xml:space="preserve">Набавка материјала и израда цементне кошуљице у лифт кућици. Кошуљица је армирана мрежом Q 84, која је обавезно постављена у средини слоја. </t>
  </si>
  <si>
    <t xml:space="preserve">металнa жалузина, димензија 100/130 цм </t>
  </si>
  <si>
    <t>димензија 90/100 цм</t>
  </si>
  <si>
    <t>димензија 80/60 цм</t>
  </si>
  <si>
    <t>Рушење бетонских ослонаца у лифтовској кућици, димензије према графичкој документацији. Рушење вршити пажљиво како не би дошло до оштећења пода.</t>
  </si>
  <si>
    <t>=0,5*(0,6*0,6*2+1,95*0,6)</t>
  </si>
  <si>
    <t>Сав лим исећи, утоварити у камионе, превести до депоније, истоварити из камиона и грубо испланирати на депонији.</t>
  </si>
  <si>
    <t xml:space="preserve">Скидање кровног покривача, лим. Лим скинути са крова на безбедан начин. </t>
  </si>
  <si>
    <t>Скидање дашчане подлогекао подконструкција лима.</t>
  </si>
  <si>
    <t>Даске пажљиво скинути, утоварити у камионе, превести до депоније, истоварити из камиона и грубо испланирати на депонији.</t>
  </si>
  <si>
    <t>УКУПНО АРМИРАЧКИ РАДОВИ:</t>
  </si>
  <si>
    <t>АРМИРАЧКИ РАДОВИ</t>
  </si>
  <si>
    <t>Набавка, транспорт, сечење, савијање и уградња арматуре РА2 и МАГ, челик Б500.</t>
  </si>
  <si>
    <t>Количине арматуре су дате апроксимативно на основу количине бетона.</t>
  </si>
  <si>
    <t>Ценом обухватити и дистанцере који фиксирају удаљеност арматуре од оплате.</t>
  </si>
  <si>
    <t>Обрачун по килограму.</t>
  </si>
  <si>
    <t>Радити у свему према статичком прорачуну и детаљима арматуре.</t>
  </si>
  <si>
    <t>Обрачун по м³ са оплатом.</t>
  </si>
  <si>
    <t>Набавка материјала и бетонирање  серклажа, армираним бетоном МБ30  (С25/30), са остављањем потребних анкера.</t>
  </si>
  <si>
    <t>=0,2*0,2*(5,8*2+5,15*2)</t>
  </si>
  <si>
    <t>Набавка материјала и зазиђивање отвора</t>
  </si>
  <si>
    <t>пуном опеком д=12цм, у продужном</t>
  </si>
  <si>
    <t xml:space="preserve">малтеру размере 1:2:6.  </t>
  </si>
  <si>
    <t>=0,8*1,8</t>
  </si>
  <si>
    <t>Произвођач је дужан да дефинише начин уградње радионичким цртежом и да достави атест за ватроотпорност према СРПС-у У.Ј.1.160. Такође је дужан да у позицију угради потребну електро опрему.</t>
  </si>
  <si>
    <t>Набавка и уградња капак за  излаз у лифт кућицу ватроотпорности 90 мин. Капак металне конструкције, са обостраном облогом од челичног лима  и минералном испуном, опремљен шаркама и механизмом за затварање.</t>
  </si>
  <si>
    <t>Све мере узети на лицу места. Уградња свих елемената система мора бити у складу са препорукама и детаљима произвођачима система и према извођачким детаљима које мора израдити извођач, а одобрити надзорни орган и инвеститор.</t>
  </si>
  <si>
    <t>ознака 1 у двоструком квадрату, димензија 130/100 цм</t>
  </si>
  <si>
    <t>ознака 1 у двоструком квадрату, димензија 90/100 цм</t>
  </si>
  <si>
    <t xml:space="preserve">Набавка материјала и малтерисање унутрашњих и фасадних зидова, у два слоја продужним малтером размере 1:3:9, први слој нанети грубо, други слој фино заглађен. </t>
  </si>
  <si>
    <t>=(1,31+2,10*2)*4</t>
  </si>
  <si>
    <t>=25,41+8,9</t>
  </si>
  <si>
    <t>=2,4*2,20*2,4*4,4*2</t>
  </si>
  <si>
    <t>ЛИМАРСКИ РАДОВИ</t>
  </si>
  <si>
    <t>УКУПНО ЛИМАРСКИ РАДОВИ:</t>
  </si>
  <si>
    <t xml:space="preserve">Профилација, боја челичног лима  кровних панела по избору пројектанта. </t>
  </si>
  <si>
    <t xml:space="preserve">м² </t>
  </si>
  <si>
    <t>Набавка и уградња кровног покривачаи облоге зида  од трапезастог кровног изолационог панел  типа "Kingspan" КS 1000 RW 60 mm IPN Isophenic, или одговарајуће.</t>
  </si>
  <si>
    <t>Панели су ширине 100 цм, двоструке хидро-термичке заптивке на споју, састављени од:
- спољног лима дебљине 0,5 мм, (пластифициран полиестерском бојом дебљине 25 µм), 
- унутрашњег лима дебљине 0,4мм (пластифициран полиестерском бојом деб. 15 µм), лим је квалитета S250, поцинкован 275 г/м² по норми ЕN1042 и ЕN 10147-2000.
- изолационог језгра (негориви Isophenic Firesafe, дебљине 160 мм.)</t>
  </si>
  <si>
    <t>Коефицијент проласка топлоте U=0,35W/м²К.</t>
  </si>
  <si>
    <t>Панел је с обе стране заштићен ПВЦ фолијом, која се у монтажи одстрањује. На бочном споју панел-панел термичка заптивка, и у спојном таласу панела антикондензациона заптивка. Кровни панел има сертификат ватроотпорности од 60 минута, испитан у лабораторији ИМС, према стандарду SRPS  U.J1. 140.</t>
  </si>
  <si>
    <t>Приложити гаранцију на ватроотпорност, статику и термичку изолацију у трајању од 25 година. Обавезна примена свих прописаних упутстава за монтажу од стране произвођача Кингспан. Панел је с обе стране заштићен са ПВЦ фолијом, која се у монтажи одстрањује.</t>
  </si>
  <si>
    <t>Обрачун по м². уграђених панела.У ставку укључен сав спојни и причврсни материјал, ЕПДМ заптивке, калоте и подлошке</t>
  </si>
  <si>
    <t>кровни панел</t>
  </si>
  <si>
    <t>облога фасадног зида</t>
  </si>
  <si>
    <t>Саставни део позиције је и део који је са једне стране подвучен под кровни покривач, а са друге се спаја са олуком, у виду дуплог контра фалца, развијене ширине 40 цм.</t>
  </si>
  <si>
    <t>Обрачун по м¹.</t>
  </si>
  <si>
    <t>Набавка материјала израда и монтажа висећих олучних хоризонтала од поцинкованог челичног пластифицираног лима д=0,6 мм, пластифицираног у тону према избору пројектанта. Олук дат са падом од 0,5% према одводним вертикалама.</t>
  </si>
  <si>
    <t>Олук спајати поп нитнама и залепити силиконом. Држаче олука радити од флаха 25/5 мм, од бојеног лима и нитовати поп нитнама на размаку од 80цм.</t>
  </si>
  <si>
    <t>Набавка материјала, израда и монтажа одводних олучних вертикала, израђених од поцинкованог челичног лима дебљине д=0,6мм, завршно пластифицираног  у тону по избору пројектанта.</t>
  </si>
  <si>
    <t>Поједине делове олучних цеви увући један у други минимум 50 мм и залепити барсилом. Обујмице са држачима поставити на размаку од 200цм. Преко обујмица поставити украсну пластифицирану траку.</t>
  </si>
  <si>
    <t>Пластификација у тону према избору пројектанта. Радити у свему према детаљу. Завршетак олучне цеви по детаљу.</t>
  </si>
  <si>
    <t>=0,4*(5,9+5,27)*2</t>
  </si>
  <si>
    <t xml:space="preserve">Набавка материјала, израда и монтажа самплеха израђеног од челичног пластифицираног лима дебљине д=0,6мм. </t>
  </si>
  <si>
    <t>Самплех се подвлачи под кровни покривач и спаја са олуком у виду дуплог контра фалца. Развијена ширина око 35 цм. Пластификација у тону према избору пројектанта.</t>
  </si>
  <si>
    <t>=(2,7+3,4)/2*(5,15*2+5,75*2)</t>
  </si>
  <si>
    <t>=1,20*2*3</t>
  </si>
  <si>
    <t>01.07.03.</t>
  </si>
  <si>
    <t>01.08.02.</t>
  </si>
  <si>
    <t>01.09.00.</t>
  </si>
  <si>
    <t>01.09.01.</t>
  </si>
  <si>
    <t>01.05.02.</t>
  </si>
  <si>
    <t>01.07.04.</t>
  </si>
  <si>
    <t>01.08.03.</t>
  </si>
  <si>
    <t>01.09.02.</t>
  </si>
  <si>
    <t>01.10.00.</t>
  </si>
  <si>
    <t>01.10.01.</t>
  </si>
  <si>
    <t>=(2,7+3,4)/2*20,2+12,6*17,4</t>
  </si>
  <si>
    <t xml:space="preserve">Противпожарну заштиту елемената челичне конструкције који носе новопостављени кровни панел извести адекватним премазима атестираним на ватроотпорност 60 мин. </t>
  </si>
  <si>
    <t xml:space="preserve">Предвиђен је противпожарни премаз Firestop Steel, или одговарајући, експандујући (интумесцентни) противпожарни премаз на воденој бази,беле боје, (за постизање ватротпорности од 60 минута са извештајем о испитивању у складу са СРПС У.Ј1.040 односно СРПС У.Ј1.042. у дебљини наношења према упутству произвођача, за тражени степен противпожарне заштите. Пре наношења завршног слоја извршити контролу дебљина нанетих премаза.  </t>
  </si>
  <si>
    <t>Набавка, израда и монтажа челичне конструкције и спојних средстава за подконструкцију за кров лифт кућице.</t>
  </si>
  <si>
    <t>Демонтажа металног капка за унос опреме у лифт кућици . Димензије према графичкој документацији. Демонтажу вршити пажљиво како не би дошло до оштећења лифтовског окна.</t>
  </si>
  <si>
    <t>=(2,6+2,85)/2*(6,7*2+3,65*2)</t>
  </si>
  <si>
    <t>=0,8*0,6</t>
  </si>
  <si>
    <t>=2,9*4,4*8</t>
  </si>
  <si>
    <t>=(1,31+2,10*2)*8</t>
  </si>
  <si>
    <t>=19,06+8,4</t>
  </si>
  <si>
    <t>=(2,6+2,85)/2*18,4+11,6*22,66</t>
  </si>
  <si>
    <t>=0,4*(3,65+6,7)*2</t>
  </si>
  <si>
    <t>ознака 2 у осмоуглу, једнокрилна врата димензија 80/180 цм</t>
  </si>
  <si>
    <t>Врата  су испитана у ИМС-у, у складу са  стандардом   SRPS U.J1, о чему је извођач дужан да приложи атест.
Завршна обрада је пластификација, у боји по избору пројектанта.</t>
  </si>
  <si>
    <t>Набавка материјала и уградња  једнокрилна пуна метална ПП врата ватроотпорности ЕI 90 .Врата су израђена од поцинкованог лима д=0.8мм, са ватроотпорном испуном и ватроотпорном касетом за браву.Рам врата је израђен од челичног лима д=1.5мм са лежиштем за дихт гуму и експандирајућу траку.Врата су снабдевена са 3 шарке (са опругом за самозатварање), ПП бравом и кваком.Врата су без прага.</t>
  </si>
  <si>
    <t>ознака 1 у двоструком квадрату, димензија 140/100 цм</t>
  </si>
  <si>
    <t>=0,2*0,2*(3,9*2+6,9*2)</t>
  </si>
  <si>
    <t>димензија 70/70 цм</t>
  </si>
  <si>
    <t>димензија 150/105 цм</t>
  </si>
  <si>
    <t xml:space="preserve">металнa жалузина, димензија 80/60 цм </t>
  </si>
  <si>
    <t>УКУПНО СУВОМОНТАЖНИ РАДОВИ:</t>
  </si>
  <si>
    <t>Обрачун по м² обухвата испоруку и монтажу плоча, потконструкције, испуњавање спојница смесом за спојнице, остављане отвора за расвету и остале елементе плафона, завршне лајсне као и радну скелу.</t>
  </si>
  <si>
    <t>Извођач је дужан да достави атест за уграђени материјал од акредитоване лабораторије, у свему према СРПС ЕН 13501-2.</t>
  </si>
  <si>
    <t>Пре почетка радова извођач  је дужан да уради детаљне радионичке цртеже диспозиције плафона и да их са узорком достави пројектанту на оверу.</t>
  </si>
  <si>
    <t xml:space="preserve">Радити према пројекту,  важећим прописима и приложеним детаљима. </t>
  </si>
  <si>
    <t>Спојеве бандажирати и гитовати специјалном масом према упутству произвођача, као припрему за завршну обраду.</t>
  </si>
  <si>
    <t>Спуштени плафон је од двоструких ватротпорних гипс картонских RF плоча, типа Кнауф Ридурит или одговарајуће, дебљине д= 2х15 мм, на одговарајућој потконструкцији у два правца.</t>
  </si>
  <si>
    <t>Набавка и уградња спуштеног плафона пожарне ватроотпорности F 60, тј. враћање у првобитно стање претходно демонтираног плафона са каскадама.</t>
  </si>
  <si>
    <t>01.08.03</t>
  </si>
  <si>
    <t>=0,5*3,1+2,0*(1,48*2+0,28)</t>
  </si>
  <si>
    <t>Обрачун по м² обухвата испоруку и монтажу плоча, испуњавање спојница смесом за спојнице, завршне лајсне.</t>
  </si>
  <si>
    <t>Радити у свему према спецификацији произвођача.</t>
  </si>
  <si>
    <t>Облагање Кnauf Fireboard плочама дебљине 25 мм. То су негориве гипсане плоче са стакленим влакнима, разреда грађевинског материјала А1, према ZPA III 4.290, односно разреда грађевинског материјала А, prema IBS Br.3276/92.
Пожарноотпорно облагање се изводи без потконструкције, Fireboard облоге се директно учвршћују кламерицама са чеоне стране, на размаку до 12 цм.</t>
  </si>
  <si>
    <t>Набавка материјала и облагање  дрвених стубова пп облогом, ватроотпорности  90мин.</t>
  </si>
  <si>
    <t>=15,45*(2,97*2+2,11)</t>
  </si>
  <si>
    <t>Обрачун по м² изведеног зида у свему према спецификацији произвођача без одбијања отвора.</t>
  </si>
  <si>
    <t xml:space="preserve">Приликом монтаже преградних зидова  радити у свему према спецификацији произвођача (Rigips, Knauf или одговарајуће). Све мере узети на лицу места.   </t>
  </si>
  <si>
    <t xml:space="preserve">На свим истуреним угловима урадити типске заштитне угаонике. Спојнице између плоча се бандажирају и  обрађују смесом за испуњавање спојница. </t>
  </si>
  <si>
    <t xml:space="preserve">Зидови морају поседовати сертификате за ватроотпорност издате од стране овлаштене лабораторије. </t>
  </si>
  <si>
    <t>Монтажни зид дебљине 15цм, који се састојиод следећих слојева :
- ватроотпорне гипс картонских плоча, укупне дебљине д=3,75 цм (3х12,5мм)
- термоизолација 7,5цм
-метална потконструкција
-ватроотпорне гипс картонских плоча укупне дебљине д=3,75 цм (3х12,5мм).</t>
  </si>
  <si>
    <t>Набавка материјала и уградња преградних зидова лифтовских окана. Зидови ће се урадити као монтажни гипсани на подконструкцији ватроотпорности 120 минута.</t>
  </si>
  <si>
    <t>СУВОМОНТАЖНИ РАДОВИ</t>
  </si>
  <si>
    <t>=(2,3+2,1)/2*(3,55*2+4,5*2)</t>
  </si>
  <si>
    <t>=0,4*2*3,15*3</t>
  </si>
  <si>
    <t xml:space="preserve">Набавка материјала и бојење челичних носача унутар  лифт кућица, атестираним ватроотпорним премазима ватроотпорности 60 min у складу са носећом улогом елемента Предвиђен је противпожарни премаз Firestop Steel,или одговарајући, експандујући (интумесцентни) противпожарни премаз на воденој бази,беле боје, (за постизање ватротпорности од 60 минута са извештајем о испитивању у складу са СРПС У.Ј1.040 односно СРПС У.Ј1.042. у дебљини наношења према упутству произвођача, за тражени степен противпожарне заштите.  Пре наношења завршног слоја извршити контролу дебљина нанетих премаза.  </t>
  </si>
  <si>
    <t>01.06.03.</t>
  </si>
  <si>
    <t>=0,9*2*(5,3*6+4,5*2+7,85+6,15)</t>
  </si>
  <si>
    <t xml:space="preserve">Набавка материјала и бојење постојеће челичне конструкције која носи лифтовско постројење ће се ватроотпорно заштитити премазима ватроотпорности 90 минута. 
Предвиђен је противпожарни премаз Firestop Steel,или одговарајући, експандујући (интумесцентни) противпожарни премаз на воденој бази,беле боје, (за постизање ватротпорности од 90 минута са извештајем о испитивању у складу са СРПС У.Ј1.040 односно СРПС У.Ј1.042. у дебљини наношења према упутству произвођача, за тражени степен противпожарне заштите..  </t>
  </si>
  <si>
    <t>01.06.02.</t>
  </si>
  <si>
    <t>=12,76+6,45*7,0</t>
  </si>
  <si>
    <t>=(2,3+2,1)/2*14,4</t>
  </si>
  <si>
    <t>=0,4*(3,65+4,65)*2</t>
  </si>
  <si>
    <t>степениште</t>
  </si>
  <si>
    <t>Такође треба урачунати поправке услед оштећења при транспорту и монтажи као и допуну слојева нанетих у производном погону због удара при монтажи. Финална обрада челичних профила, после антикорозивне заштите и претходне припреме, завршна челичне конструкције завршно бојити бојом за метал у тону према избору пројектанта.</t>
  </si>
  <si>
    <t>Набавка, израда и монтажа челичне конструкције и спојних средстава за подконструкцију новопројектованих зидова лифта.</t>
  </si>
  <si>
    <t>01.03.02.</t>
  </si>
  <si>
    <t>01.02.03.</t>
  </si>
  <si>
    <t>01.02.02.</t>
  </si>
  <si>
    <t>Обрачун по м² комплетне позиције заједно са потконструкцијом и са одвозом шута на депонију.</t>
  </si>
  <si>
    <t xml:space="preserve">Демонтажа спуштеног плафона са каскадама у степенишном простору у нивоу поткровља, од двоструких гипс-картонских плоча д=2*1,25 цм постављених на висилицама на металној потконструкцији. </t>
  </si>
  <si>
    <t>01.01.07.</t>
  </si>
  <si>
    <t xml:space="preserve">Скидање облоге стубова од  лим. Лим скинути са на безбедан начин. </t>
  </si>
  <si>
    <t xml:space="preserve">Скидање лимене облоге лифтовског окна са подконструкцијом. Лим скинути са на безбедан начин. </t>
  </si>
  <si>
    <t>=0,5*0,6*0,6*2</t>
  </si>
  <si>
    <t>димензија 140/100 цм</t>
  </si>
  <si>
    <t xml:space="preserve">металнa једнокрилна врата, 
димензија 80/180 цм </t>
  </si>
  <si>
    <t xml:space="preserve">Демонтажа  браварије са демонтирањем штокова, опшава, перваза и парапетних даски. </t>
  </si>
  <si>
    <t>=0,28*4*2,5</t>
  </si>
  <si>
    <t>=(2,34+3,0*2)*16,9</t>
  </si>
  <si>
    <t>=2,55*(4,75*2+2,6+3,15+2,0+1,8)</t>
  </si>
  <si>
    <t>=0,6*4,3</t>
  </si>
  <si>
    <t>=0,9*(6,6*2)</t>
  </si>
  <si>
    <t>=13,3*2</t>
  </si>
  <si>
    <t>=2,55*17,5+(2,34+3,0*2)*16,9</t>
  </si>
  <si>
    <t>=0,4*(4,75*2+2,6+3,15+2,0+1,8)</t>
  </si>
  <si>
    <t>ознака 2 у осмоуглу, једнокрилна врата димензија 75/200 цм</t>
  </si>
  <si>
    <t>ознака 1 у двоструком квадрату, димензија 120/100 цм</t>
  </si>
  <si>
    <t>13.05</t>
  </si>
  <si>
    <t>=0,28*4*2,55</t>
  </si>
  <si>
    <t>=0,5*(0,6*0,6*2+1,85*0,35)</t>
  </si>
  <si>
    <t>димензија 120/100 цм</t>
  </si>
  <si>
    <t xml:space="preserve">металнa једнокрилна врата, 
димензија 75/200 цм </t>
  </si>
  <si>
    <t>=0,25*4*(2,5+1,57+0,68*2)</t>
  </si>
  <si>
    <t>=(2,24*2+3,07*2)*12,8</t>
  </si>
  <si>
    <t>=2,8*(4,95*2+5,55*2)</t>
  </si>
  <si>
    <t>=0,6*4,95</t>
  </si>
  <si>
    <t>=22,75+36,86</t>
  </si>
  <si>
    <t>=2,5*19,1+(2,24*2+3,07*2)*12,81</t>
  </si>
  <si>
    <t>=0,35*(4,95*2+5,55*2)</t>
  </si>
  <si>
    <t>ознака 1 у двоструком квадрату, димензија 80/80 цм</t>
  </si>
  <si>
    <t>ознака 1 у двоструком квадрату, димензија 150/100 цм</t>
  </si>
  <si>
    <t>=0,25*4*2,5</t>
  </si>
  <si>
    <t xml:space="preserve">Скидање облоге стубова од  лим. Лим скинути  на безбедан начин. </t>
  </si>
  <si>
    <t>димензија 80/80 цм</t>
  </si>
  <si>
    <t>димензија 150/100 цм</t>
  </si>
  <si>
    <t xml:space="preserve">Демонтажа браварије са демонтирањем штокова, опшава, перваза и парапетних даски. </t>
  </si>
  <si>
    <t>=2,1*(3,7*2+4,85*2)</t>
  </si>
  <si>
    <t>=0,4*2*4,1</t>
  </si>
  <si>
    <t>01.05.04.</t>
  </si>
  <si>
    <t>=2,85*3,6*5</t>
  </si>
  <si>
    <t>01.05.03.</t>
  </si>
  <si>
    <t>=(1,31+2,10*2)*5</t>
  </si>
  <si>
    <t>=13,45+2,79</t>
  </si>
  <si>
    <t>=2,15*14,62+6,68*19,6</t>
  </si>
  <si>
    <t>=0,32*(3,7*2+4,85*2)</t>
  </si>
  <si>
    <t>ознака 2 у осмоуглу, једнокрилна врата димензија 75/180 цм</t>
  </si>
  <si>
    <t>01.02.04.</t>
  </si>
  <si>
    <t xml:space="preserve">продужном малтеру размере 1:2:6.  </t>
  </si>
  <si>
    <t>отвора пуном опеком д=12цм, у</t>
  </si>
  <si>
    <t>Набавка материјала и зазиђивање</t>
  </si>
  <si>
    <t>=0,5*(0,5*0,5*2+0,35*1,75)</t>
  </si>
  <si>
    <t>димензија 130/100 цм</t>
  </si>
  <si>
    <t xml:space="preserve">металнa једнокрилна врата, 
димензија 120/90 цм </t>
  </si>
  <si>
    <t>=2,5*(3,45+4,1)</t>
  </si>
  <si>
    <t>=(1,2+0,9*2)*2</t>
  </si>
  <si>
    <t>=0,67*2</t>
  </si>
  <si>
    <t>=1,25*3,34+6,85*3,34</t>
  </si>
  <si>
    <t>УКУПНО ПВЦ СТОЛАРИЈА:</t>
  </si>
  <si>
    <t>ознака 1 у кругу парапетна даска димензија 50/42 цм</t>
  </si>
  <si>
    <t>Све мере узети на лицу места. Уградња свих елемената мора бити у складу са препорукама и детаљима произвођача  и према извођачким детаљима које мора израдити извођач, а одобрити надзорни орган и инвеститор.</t>
  </si>
  <si>
    <t>Клупица се ослања на угаони 'L' профил 150x150x4, фиксиран за парапетни зид одговарајућим завртњима, који се завршно боји емајл лаком у 2 слоја.</t>
  </si>
  <si>
    <t>Парапетна клупица, израђена од префабрикованих шупљих профила полимера 50 x 42, дебљине д=2 цм.</t>
  </si>
  <si>
    <t>Набавка материјала и уградња  парапетне клупице.</t>
  </si>
  <si>
    <t>ПВЦ СТОЛАРИЈА</t>
  </si>
  <si>
    <t>ознака 4 у осмоуглу, ПП завеса димензија 85/85 цм</t>
  </si>
  <si>
    <t>Предвиђена ПП/ПД завеса поседује сертификат од Министарства грађевинарства, саобраћаја и инфраструктуре за тржиште Републике Србије.</t>
  </si>
  <si>
    <t>Поред контролне јединице се налази тастер са кључем за редовно тестирање завеса.
Завеса се монтира на зид изнад лифтовских врата. Смер затварања - вертикално одозго према доле.</t>
  </si>
  <si>
    <t>Напајање 230 V АС +10% / -15%</t>
  </si>
  <si>
    <t>Контролна јединица KGG Vision Compact која се  повезује на ПП централу и прима сигнал дојаве пожара чиме се врши активација завесе.</t>
  </si>
  <si>
    <t>Погон система - затварање гравитационо, без додатне енергије, сса 0,15-0,20 m/sec (gravity fail-safe).
Отварање електромоторно.</t>
  </si>
  <si>
    <t>Тканина која се уграђује у завесе је произведена од тканих стаклених влакана ојачана са жичаним влакнима од нерђајућег челика, премазана димнонепропусним премазом, 
класе отпорности на пожар А2 по ЕН 13501-1.</t>
  </si>
  <si>
    <t>Обострано се постављају дупле поцинковане вођице димензија 80x70 мм,међусобно повезане  опругама што осигурава безбедно спуштање завесе путем кугличних лежајева услед појаве надпритиска.</t>
  </si>
  <si>
    <t>Завеса има поцинковано кућиште димензија 250x200 мм, дужине 85 цм са осовином на коју се намотава завеса у којој се налази мотор типа „Becker“ прикључног напона 230 V АС ±10% са интегрисаном радном кочницом напона 24 V DC ±10% која држи завесу у отвореном положају и контролише брзину спуштања завесе.</t>
  </si>
  <si>
    <t>Противпожарна и противдимна завеса
 класификације ТФФ ЕW С200 (См)  са СЕ знаком по  европској хармонизованој норми ЕН 16034, 
- отпорне на пожар 60  минута по ЕН 1634-1,
 радијације маx.до 15 кW/м², класификације  ЕW60 по  ЕН 13501-2, 
- димнонепропусности до маx.20м3/х при надпритискуод 50 Па при температури 200°Ц  по ЕН 1634-3,
 класификације С200 (См) по ЕН 13501-2 и Ц2 класе за ≥ 10.000 циклуса отварања/затварања.
- Достизање класификације ЕI60 S200 (Sм),) сувим путем, слободном зоном од 0,5 м.</t>
  </si>
  <si>
    <t>Набавка материјала и уградња  ПП  и ПД завесе.</t>
  </si>
  <si>
    <t>ознака 3 у осмоуглу, једнокрилна врата димензија 120/90 цм</t>
  </si>
  <si>
    <t>Набавка материјала и уградња  двокрилна пуна метална ПП врата ватроотпорности ЕI 90 .Врата су израђена од поцинкованог лима д=0.8мм, са ватроотпорном испуном и ватроотпорном касетом за браву.Рам врата је израђен од челичног лима д=1.5мм са лежиштем за дихт гуму и експандирајућу траку.Врата су снабдевена са 3 шарке (са опругом за самозатварање), ПП бравом и кваком.Врата су без прага.</t>
  </si>
  <si>
    <t xml:space="preserve">парапетна клупица , димензија 42/50 цм </t>
  </si>
  <si>
    <t xml:space="preserve">металнa  врата, 
димензија 120/90 цм </t>
  </si>
  <si>
    <t>УКУПНО (дин):</t>
  </si>
  <si>
    <t>ЛИФТ 9</t>
  </si>
  <si>
    <t>9.</t>
  </si>
  <si>
    <t>ЛИФТ 8</t>
  </si>
  <si>
    <t>8.</t>
  </si>
  <si>
    <t>ЛИФТ 7</t>
  </si>
  <si>
    <t>7.</t>
  </si>
  <si>
    <t>ЛИФТ 6</t>
  </si>
  <si>
    <t>6.</t>
  </si>
  <si>
    <t>ЛИФТ 5</t>
  </si>
  <si>
    <t>5.</t>
  </si>
  <si>
    <t>ЛИФТ 4</t>
  </si>
  <si>
    <t>4.</t>
  </si>
  <si>
    <t>ЛИФТ 3</t>
  </si>
  <si>
    <t>3.</t>
  </si>
  <si>
    <t>ЛИФТ 2</t>
  </si>
  <si>
    <t>2.</t>
  </si>
  <si>
    <t>ЛИФТ 1</t>
  </si>
  <si>
    <t>1.</t>
  </si>
  <si>
    <t xml:space="preserve">  </t>
  </si>
  <si>
    <t>- ЗБИРНА РЕКАПИТУЛАЦИЈА-</t>
  </si>
  <si>
    <t>Зграда Ургентог центра  КЦС, ул.Пастерова 2 Београд
 Реконструкцијe лифтова Л1-Л9 
 ЛИФТ Л1</t>
  </si>
  <si>
    <t>Зграда Ургентог центра  КЦС, ул.Пастерова 2 Београд
 Реконструкцијe лифтова Л1-Л9 
 ЛИФТ Л2</t>
  </si>
  <si>
    <t>Зграда Ургентог центра  КЦС, ул.Пастерова 2 Београд
  Реконструкцијe лифтова Л1-Л9 
 ЛИФТ Л3</t>
  </si>
  <si>
    <t>Зграда Ургентог центра  КЦС, ул.Пастерова 2 Београд
 Реконструкцијe лифтова Л1-Л9 
 ЛИФТ Л3</t>
  </si>
  <si>
    <t>Зграда Ургентог центра  КЦС, ул.Пастерова 2 Београд
 Реконструкцијe лифтова Л1-Л9 
 ЛИФТ Л4</t>
  </si>
  <si>
    <t>Зграда Ургентог центра  КЦС, ул.Пастерова 2 Београд
 Реконструкцијe лифтова Л1-Л9 
 ЛИФТ Л5</t>
  </si>
  <si>
    <t>Зграда Ургентог центра  КЦС, ул.Пастерова 2 Београд
Реконструкцијe лифтова Л1-Л9 
 ЛИФТ Л5</t>
  </si>
  <si>
    <t>Зграда Ургентог центра  КЦС, ул.Пастерова 2 Београд
 Реконструкцијe лифтова Л1-Л9 
 ЛИФТ Л6</t>
  </si>
  <si>
    <t>Зграда Ургентог центра  КЦС, ул.Пастерова 2 Београд
Реконструкцијe лифтова Л1-Л9 
 ЛИФТ Л7</t>
  </si>
  <si>
    <t>Зграда Ургентог центра  КЦС, ул.Пастерова 2 Београд
 Реконструкцијe лифтова Л1-Л9 
 ЛИФТ Л7</t>
  </si>
  <si>
    <t>Зграда Ургентог центра  КЦС, ул.Пастерова 2 Београд
 Реконструкцијe лифтова Л1-Л9 
 ЛИФТ Л8</t>
  </si>
  <si>
    <t>Зграда Ургентог центра  КЦС, ул.Пастерова 2 Београд
 Реконструкцијe лифтова Л1-Л9 
 ЛИФТ Л9</t>
  </si>
  <si>
    <t xml:space="preserve">Зграда Ургентог центра  КЦС, ул. Пастерова 2 Београд
 Реконструкцијe лифтова Л1-Л9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</si>
</sst>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0"/>
      <name val="Yu Arial"/>
    </font>
    <font>
      <b/>
      <sz val="12"/>
      <name val="Arial"/>
      <family val="2"/>
    </font>
    <font>
      <b/>
      <sz val="10"/>
      <name val="Arial"/>
      <family val="2"/>
    </font>
    <font>
      <sz val="10"/>
      <name val="Arial"/>
      <family val="2"/>
    </font>
    <font>
      <sz val="10"/>
      <name val="Yu Arial"/>
      <family val="2"/>
    </font>
    <font>
      <sz val="8"/>
      <name val="Arial"/>
      <family val="2"/>
    </font>
    <font>
      <b/>
      <sz val="10"/>
      <name val="Yu Arial"/>
      <family val="2"/>
    </font>
    <font>
      <b/>
      <i/>
      <sz val="10"/>
      <name val="Arial"/>
      <family val="2"/>
    </font>
    <font>
      <i/>
      <sz val="9"/>
      <name val="Arial"/>
      <family val="2"/>
    </font>
    <font>
      <b/>
      <i/>
      <sz val="9"/>
      <name val="Arial"/>
      <family val="2"/>
    </font>
    <font>
      <sz val="12"/>
      <name val="Arial"/>
      <family val="2"/>
    </font>
    <font>
      <sz val="10"/>
      <name val="Yu Times New Roman"/>
      <family val="1"/>
    </font>
    <font>
      <sz val="11"/>
      <name val="Arial"/>
      <family val="2"/>
    </font>
    <font>
      <sz val="11"/>
      <name val="Yu Times New Roman"/>
      <family val="1"/>
    </font>
    <font>
      <sz val="12"/>
      <name val="Yu Arial"/>
      <family val="2"/>
    </font>
  </fonts>
  <fills count="3">
    <fill>
      <patternFill patternType="none"/>
    </fill>
    <fill>
      <patternFill patternType="gray125"/>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double">
        <color indexed="64"/>
      </top>
      <bottom style="double">
        <color indexed="64"/>
      </bottom>
      <diagonal/>
    </border>
    <border>
      <left/>
      <right/>
      <top style="double">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double">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double">
        <color indexed="64"/>
      </right>
      <top/>
      <bottom/>
      <diagonal/>
    </border>
    <border>
      <left style="thin">
        <color indexed="64"/>
      </left>
      <right style="double">
        <color indexed="64"/>
      </right>
      <top style="thin">
        <color indexed="64"/>
      </top>
      <bottom/>
      <diagonal/>
    </border>
    <border>
      <left style="double">
        <color indexed="64"/>
      </left>
      <right style="thin">
        <color indexed="64"/>
      </right>
      <top/>
      <bottom/>
      <diagonal/>
    </border>
    <border>
      <left style="thin">
        <color indexed="64"/>
      </left>
      <right style="double">
        <color indexed="64"/>
      </right>
      <top style="double">
        <color indexed="64"/>
      </top>
      <bottom/>
      <diagonal/>
    </border>
    <border>
      <left/>
      <right style="double">
        <color auto="1"/>
      </right>
      <top style="double">
        <color indexed="64"/>
      </top>
      <bottom/>
      <diagonal/>
    </border>
    <border>
      <left/>
      <right/>
      <top/>
      <bottom style="double">
        <color auto="1"/>
      </bottom>
      <diagonal/>
    </border>
    <border>
      <left/>
      <right/>
      <top style="thin">
        <color indexed="64"/>
      </top>
      <bottom style="double">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top/>
      <bottom style="thin">
        <color indexed="64"/>
      </bottom>
      <diagonal/>
    </border>
    <border>
      <left style="thin">
        <color theme="1" tint="0.24994659260841701"/>
      </left>
      <right style="thin">
        <color theme="1" tint="0.24994659260841701"/>
      </right>
      <top/>
      <bottom/>
      <diagonal/>
    </border>
    <border>
      <left style="thin">
        <color indexed="22"/>
      </left>
      <right style="thin">
        <color indexed="22"/>
      </right>
      <top/>
      <bottom/>
      <diagonal/>
    </border>
    <border>
      <left style="thin">
        <color indexed="22"/>
      </left>
      <right style="thin">
        <color indexed="22"/>
      </right>
      <top/>
      <bottom style="thin">
        <color indexed="64"/>
      </bottom>
      <diagonal/>
    </border>
    <border>
      <left style="thin">
        <color theme="1" tint="0.24994659260841701"/>
      </left>
      <right style="medium">
        <color theme="1" tint="0.24994659260841701"/>
      </right>
      <top/>
      <bottom/>
      <diagonal/>
    </border>
    <border>
      <left style="thin">
        <color theme="1" tint="0.24994659260841701"/>
      </left>
      <right style="double">
        <color theme="1" tint="0.24994659260841701"/>
      </right>
      <top/>
      <bottom/>
      <diagonal/>
    </border>
    <border>
      <left style="double">
        <color indexed="64"/>
      </left>
      <right style="double">
        <color auto="1"/>
      </right>
      <top style="thin">
        <color indexed="64"/>
      </top>
      <bottom style="double">
        <color indexed="64"/>
      </bottom>
      <diagonal/>
    </border>
    <border>
      <left/>
      <right style="double">
        <color indexed="64"/>
      </right>
      <top/>
      <bottom/>
      <diagonal/>
    </border>
    <border>
      <left style="double">
        <color auto="1"/>
      </left>
      <right/>
      <top/>
      <bottom/>
      <diagonal/>
    </border>
    <border>
      <left/>
      <right/>
      <top style="double">
        <color indexed="64"/>
      </top>
      <bottom/>
      <diagonal/>
    </border>
    <border>
      <left style="double">
        <color auto="1"/>
      </left>
      <right/>
      <top style="double">
        <color indexed="64"/>
      </top>
      <bottom/>
      <diagonal/>
    </border>
    <border>
      <left style="thin">
        <color indexed="23"/>
      </left>
      <right style="thin">
        <color indexed="23"/>
      </right>
      <top/>
      <bottom/>
      <diagonal/>
    </border>
    <border>
      <left style="thin">
        <color indexed="23"/>
      </left>
      <right style="thin">
        <color indexed="23"/>
      </right>
      <top style="thin">
        <color indexed="64"/>
      </top>
      <bottom style="thin">
        <color indexed="64"/>
      </bottom>
      <diagonal/>
    </border>
    <border>
      <left style="thin">
        <color theme="1" tint="0.499984740745262"/>
      </left>
      <right style="thin">
        <color theme="1" tint="0.499984740745262"/>
      </right>
      <top/>
      <bottom/>
      <diagonal/>
    </border>
    <border>
      <left style="double">
        <color theme="1" tint="0.24994659260841701"/>
      </left>
      <right style="double">
        <color indexed="64"/>
      </right>
      <top style="double">
        <color indexed="64"/>
      </top>
      <bottom style="double">
        <color theme="1" tint="0.24994659260841701"/>
      </bottom>
      <diagonal/>
    </border>
    <border>
      <left/>
      <right style="double">
        <color theme="1" tint="0.24994659260841701"/>
      </right>
      <top style="double">
        <color indexed="64"/>
      </top>
      <bottom style="double">
        <color theme="1" tint="0.24994659260841701"/>
      </bottom>
      <diagonal/>
    </border>
    <border>
      <left/>
      <right/>
      <top style="double">
        <color indexed="64"/>
      </top>
      <bottom style="double">
        <color theme="1" tint="0.24994659260841701"/>
      </bottom>
      <diagonal/>
    </border>
    <border>
      <left style="double">
        <color indexed="64"/>
      </left>
      <right/>
      <top style="double">
        <color indexed="64"/>
      </top>
      <bottom style="double">
        <color theme="1" tint="0.24994659260841701"/>
      </bottom>
      <diagonal/>
    </border>
    <border>
      <left style="double">
        <color indexed="64"/>
      </left>
      <right style="double">
        <color indexed="64"/>
      </right>
      <top style="double">
        <color indexed="64"/>
      </top>
      <bottom style="double">
        <color indexed="64"/>
      </bottom>
      <diagonal/>
    </border>
  </borders>
  <cellStyleXfs count="2">
    <xf numFmtId="0" fontId="0" fillId="0" borderId="0"/>
    <xf numFmtId="4" fontId="11" fillId="0" borderId="0"/>
  </cellStyleXfs>
  <cellXfs count="383">
    <xf numFmtId="0" fontId="0" fillId="0" borderId="0" xfId="0"/>
    <xf numFmtId="0" fontId="3" fillId="0" borderId="0" xfId="0" applyFont="1"/>
    <xf numFmtId="4" fontId="3" fillId="0" borderId="2" xfId="0" applyNumberFormat="1" applyFont="1" applyBorder="1" applyAlignment="1">
      <alignment horizontal="right"/>
    </xf>
    <xf numFmtId="0" fontId="3" fillId="0" borderId="3" xfId="0" applyFont="1" applyBorder="1" applyAlignment="1">
      <alignment horizontal="center"/>
    </xf>
    <xf numFmtId="0" fontId="4" fillId="0" borderId="0" xfId="0" applyFont="1"/>
    <xf numFmtId="0" fontId="3" fillId="0" borderId="3" xfId="0" applyFont="1" applyBorder="1" applyAlignment="1">
      <alignment horizontal="center" vertical="center" wrapText="1"/>
    </xf>
    <xf numFmtId="0" fontId="3" fillId="0" borderId="5" xfId="0" applyFont="1" applyBorder="1" applyAlignment="1">
      <alignment horizontal="center" vertical="top"/>
    </xf>
    <xf numFmtId="0" fontId="3" fillId="0" borderId="6" xfId="0" applyFont="1" applyBorder="1" applyAlignment="1">
      <alignment horizontal="center" vertical="top"/>
    </xf>
    <xf numFmtId="0" fontId="3" fillId="0" borderId="7" xfId="0" applyFont="1" applyBorder="1"/>
    <xf numFmtId="0" fontId="2" fillId="0" borderId="8" xfId="0" applyFont="1" applyBorder="1" applyAlignment="1">
      <alignment horizontal="center" vertical="center"/>
    </xf>
    <xf numFmtId="0" fontId="3" fillId="0" borderId="12" xfId="0" applyFont="1" applyBorder="1"/>
    <xf numFmtId="0" fontId="3" fillId="0" borderId="12" xfId="0" applyFont="1" applyBorder="1" applyAlignment="1">
      <alignment horizontal="center"/>
    </xf>
    <xf numFmtId="0" fontId="3" fillId="0" borderId="21" xfId="0" applyFont="1" applyBorder="1" applyAlignment="1">
      <alignment horizontal="center" vertical="top"/>
    </xf>
    <xf numFmtId="0" fontId="3" fillId="0" borderId="23" xfId="0" applyFont="1" applyBorder="1" applyAlignment="1">
      <alignment horizontal="center"/>
    </xf>
    <xf numFmtId="4" fontId="3" fillId="0" borderId="23" xfId="0" applyNumberFormat="1" applyFont="1" applyBorder="1" applyAlignment="1">
      <alignment horizontal="right"/>
    </xf>
    <xf numFmtId="0" fontId="3" fillId="0" borderId="22" xfId="0" applyFont="1" applyBorder="1" applyAlignment="1">
      <alignment horizontal="center"/>
    </xf>
    <xf numFmtId="4" fontId="3" fillId="0" borderId="22" xfId="0" applyNumberFormat="1" applyFont="1" applyBorder="1" applyAlignment="1">
      <alignment horizontal="right"/>
    </xf>
    <xf numFmtId="0" fontId="3" fillId="0" borderId="26" xfId="0" applyFont="1" applyBorder="1" applyAlignment="1">
      <alignment horizontal="center" vertical="top"/>
    </xf>
    <xf numFmtId="0" fontId="3" fillId="0" borderId="17" xfId="0" applyFont="1" applyBorder="1" applyAlignment="1">
      <alignment horizontal="center" vertical="top"/>
    </xf>
    <xf numFmtId="0" fontId="3" fillId="0" borderId="21" xfId="0" applyFont="1" applyFill="1" applyBorder="1" applyAlignment="1">
      <alignment horizontal="center" vertical="top"/>
    </xf>
    <xf numFmtId="0" fontId="3" fillId="0" borderId="29" xfId="0" applyFont="1" applyBorder="1"/>
    <xf numFmtId="0" fontId="3" fillId="0" borderId="0" xfId="0" applyNumberFormat="1" applyFont="1" applyFill="1" applyBorder="1" applyAlignment="1"/>
    <xf numFmtId="0" fontId="5" fillId="0" borderId="5" xfId="0" applyFont="1" applyBorder="1" applyAlignment="1">
      <alignment horizontal="center" vertical="top"/>
    </xf>
    <xf numFmtId="0" fontId="3" fillId="0" borderId="34" xfId="0" applyFont="1" applyBorder="1"/>
    <xf numFmtId="0" fontId="3" fillId="0" borderId="26" xfId="0" applyFont="1" applyBorder="1"/>
    <xf numFmtId="0" fontId="3" fillId="0" borderId="22" xfId="0" applyFont="1" applyBorder="1"/>
    <xf numFmtId="0" fontId="3" fillId="0" borderId="5" xfId="0" applyFont="1" applyBorder="1"/>
    <xf numFmtId="0" fontId="3" fillId="0" borderId="6" xfId="0" applyFont="1" applyBorder="1"/>
    <xf numFmtId="0" fontId="3" fillId="0" borderId="21" xfId="0" applyFont="1" applyBorder="1"/>
    <xf numFmtId="0" fontId="2" fillId="0" borderId="17" xfId="0" applyFont="1" applyBorder="1" applyAlignment="1">
      <alignment horizontal="center" vertical="center"/>
    </xf>
    <xf numFmtId="0" fontId="6" fillId="0" borderId="19" xfId="0" applyFont="1" applyBorder="1" applyAlignment="1">
      <alignment horizontal="left" vertical="center"/>
    </xf>
    <xf numFmtId="0" fontId="2" fillId="0" borderId="26" xfId="0" applyFont="1" applyBorder="1" applyAlignment="1">
      <alignment horizontal="center" vertical="center"/>
    </xf>
    <xf numFmtId="0" fontId="3" fillId="0" borderId="19" xfId="0" applyFont="1" applyBorder="1" applyAlignment="1">
      <alignment horizontal="left" vertical="center"/>
    </xf>
    <xf numFmtId="0" fontId="3" fillId="0" borderId="22" xfId="0" applyFont="1" applyBorder="1" applyAlignment="1">
      <alignment horizontal="left" vertical="center"/>
    </xf>
    <xf numFmtId="0" fontId="2" fillId="0" borderId="7" xfId="0" applyFont="1" applyBorder="1" applyAlignment="1">
      <alignment horizontal="center" vertical="center"/>
    </xf>
    <xf numFmtId="0" fontId="2" fillId="0" borderId="7" xfId="0" applyFont="1" applyBorder="1" applyAlignment="1">
      <alignment horizontal="left" vertical="center"/>
    </xf>
    <xf numFmtId="0" fontId="6" fillId="0" borderId="7" xfId="0" applyFont="1" applyBorder="1" applyAlignment="1">
      <alignment horizontal="left" vertical="center"/>
    </xf>
    <xf numFmtId="0" fontId="3" fillId="0" borderId="26" xfId="0" applyFont="1" applyBorder="1" applyAlignment="1">
      <alignment horizontal="center" vertical="center"/>
    </xf>
    <xf numFmtId="0" fontId="3" fillId="0" borderId="26" xfId="0" applyFont="1" applyBorder="1" applyAlignment="1">
      <alignment horizontal="center"/>
    </xf>
    <xf numFmtId="0" fontId="3" fillId="0" borderId="0" xfId="0" applyFont="1" applyBorder="1"/>
    <xf numFmtId="2" fontId="3" fillId="0" borderId="23" xfId="0" quotePrefix="1" applyNumberFormat="1" applyFont="1" applyBorder="1" applyAlignment="1">
      <alignment horizontal="center" vertical="center" wrapText="1"/>
    </xf>
    <xf numFmtId="2" fontId="3" fillId="0" borderId="23" xfId="0" applyNumberFormat="1" applyFont="1" applyBorder="1"/>
    <xf numFmtId="4" fontId="3" fillId="0" borderId="1" xfId="0" applyNumberFormat="1" applyFont="1" applyBorder="1" applyAlignment="1">
      <alignment horizontal="right"/>
    </xf>
    <xf numFmtId="0" fontId="2" fillId="0" borderId="6" xfId="0" applyFont="1" applyBorder="1" applyAlignment="1">
      <alignment horizontal="center" vertical="center"/>
    </xf>
    <xf numFmtId="0" fontId="3" fillId="0" borderId="1" xfId="0" applyFont="1" applyBorder="1" applyAlignment="1">
      <alignment horizontal="center" vertical="center"/>
    </xf>
    <xf numFmtId="2" fontId="3" fillId="0" borderId="1" xfId="0" quotePrefix="1" applyNumberFormat="1" applyFont="1" applyBorder="1" applyAlignment="1">
      <alignment horizontal="center" vertical="center"/>
    </xf>
    <xf numFmtId="2" fontId="3" fillId="0" borderId="1" xfId="0" applyNumberFormat="1" applyFont="1" applyBorder="1" applyAlignment="1">
      <alignment horizontal="right" vertical="center"/>
    </xf>
    <xf numFmtId="0" fontId="2" fillId="0" borderId="19" xfId="0" applyFont="1" applyBorder="1" applyAlignment="1">
      <alignment horizontal="left" vertical="center"/>
    </xf>
    <xf numFmtId="0" fontId="3" fillId="0" borderId="22" xfId="0" applyFont="1" applyBorder="1" applyAlignment="1">
      <alignment horizontal="left" vertical="center" wrapText="1"/>
    </xf>
    <xf numFmtId="0" fontId="3" fillId="0" borderId="23" xfId="0" applyFont="1" applyBorder="1" applyAlignment="1">
      <alignment horizontal="left" vertical="center" wrapText="1"/>
    </xf>
    <xf numFmtId="4" fontId="3" fillId="0" borderId="22" xfId="0" applyNumberFormat="1" applyFont="1" applyFill="1" applyBorder="1" applyAlignment="1">
      <alignment wrapText="1"/>
    </xf>
    <xf numFmtId="0" fontId="3" fillId="0" borderId="1" xfId="0" applyFont="1" applyBorder="1" applyAlignment="1">
      <alignment horizontal="center"/>
    </xf>
    <xf numFmtId="0" fontId="3" fillId="0" borderId="23" xfId="0" quotePrefix="1" applyFont="1" applyBorder="1" applyAlignment="1">
      <alignment horizontal="left" vertical="center" wrapText="1"/>
    </xf>
    <xf numFmtId="0" fontId="3" fillId="0" borderId="23" xfId="0" quotePrefix="1" applyFont="1" applyBorder="1" applyAlignment="1">
      <alignment horizontal="center" vertical="center" wrapText="1"/>
    </xf>
    <xf numFmtId="0" fontId="3" fillId="0" borderId="2" xfId="0" quotePrefix="1" applyFont="1" applyBorder="1" applyAlignment="1">
      <alignment horizontal="left" vertical="center" wrapText="1"/>
    </xf>
    <xf numFmtId="0" fontId="3" fillId="0" borderId="2" xfId="0" applyFont="1" applyBorder="1" applyAlignment="1">
      <alignment horizontal="center"/>
    </xf>
    <xf numFmtId="0" fontId="3" fillId="0" borderId="2" xfId="0" quotePrefix="1" applyFont="1" applyBorder="1" applyAlignment="1">
      <alignment horizontal="center" vertical="center" wrapText="1"/>
    </xf>
    <xf numFmtId="0" fontId="3" fillId="0" borderId="2" xfId="0" applyFont="1" applyBorder="1" applyAlignment="1">
      <alignment horizontal="left" vertical="center" wrapText="1"/>
    </xf>
    <xf numFmtId="0" fontId="3" fillId="0" borderId="19" xfId="0" applyFont="1" applyBorder="1" applyAlignment="1">
      <alignment horizontal="left" vertical="center" wrapText="1"/>
    </xf>
    <xf numFmtId="0" fontId="3" fillId="0" borderId="23" xfId="0" applyFont="1" applyBorder="1" applyAlignment="1">
      <alignment horizontal="left" vertical="center"/>
    </xf>
    <xf numFmtId="2" fontId="3" fillId="0" borderId="23" xfId="0" applyNumberFormat="1" applyFont="1" applyBorder="1" applyAlignment="1">
      <alignment horizontal="center"/>
    </xf>
    <xf numFmtId="2" fontId="3" fillId="0" borderId="22" xfId="0" applyNumberFormat="1" applyFont="1" applyBorder="1" applyAlignment="1">
      <alignment horizontal="center"/>
    </xf>
    <xf numFmtId="2" fontId="3" fillId="0" borderId="2" xfId="0" applyNumberFormat="1" applyFont="1" applyBorder="1" applyAlignment="1">
      <alignment horizontal="center"/>
    </xf>
    <xf numFmtId="2" fontId="3" fillId="0" borderId="2" xfId="0" quotePrefix="1" applyNumberFormat="1" applyFont="1" applyBorder="1" applyAlignment="1">
      <alignment horizontal="center" vertical="center" wrapText="1"/>
    </xf>
    <xf numFmtId="2" fontId="3" fillId="0" borderId="22" xfId="0" quotePrefix="1" applyNumberFormat="1" applyFont="1" applyBorder="1" applyAlignment="1">
      <alignment horizontal="center" vertical="center" wrapText="1"/>
    </xf>
    <xf numFmtId="2" fontId="3" fillId="0" borderId="1" xfId="0" quotePrefix="1" applyNumberFormat="1" applyFont="1" applyBorder="1" applyAlignment="1">
      <alignment horizontal="center" vertical="center" wrapText="1"/>
    </xf>
    <xf numFmtId="0" fontId="3" fillId="0" borderId="22" xfId="0" quotePrefix="1" applyFont="1" applyBorder="1" applyAlignment="1">
      <alignment horizontal="left" vertical="center" wrapText="1"/>
    </xf>
    <xf numFmtId="1" fontId="3" fillId="0" borderId="23" xfId="0" applyNumberFormat="1" applyFont="1" applyBorder="1" applyAlignment="1">
      <alignment horizontal="center"/>
    </xf>
    <xf numFmtId="1" fontId="3" fillId="0" borderId="22" xfId="0" applyNumberFormat="1" applyFont="1" applyBorder="1" applyAlignment="1">
      <alignment horizontal="center"/>
    </xf>
    <xf numFmtId="0" fontId="3" fillId="0" borderId="1" xfId="0" applyFont="1" applyBorder="1" applyAlignment="1">
      <alignment horizontal="left" vertical="center" wrapText="1"/>
    </xf>
    <xf numFmtId="0" fontId="3" fillId="0" borderId="1" xfId="0" quotePrefix="1" applyFont="1" applyBorder="1" applyAlignment="1">
      <alignment horizontal="left" vertical="center"/>
    </xf>
    <xf numFmtId="0" fontId="3" fillId="0" borderId="19" xfId="0" applyFont="1" applyBorder="1" applyAlignment="1">
      <alignment wrapText="1"/>
    </xf>
    <xf numFmtId="0" fontId="3" fillId="0" borderId="23" xfId="0" applyFont="1" applyBorder="1"/>
    <xf numFmtId="0" fontId="3" fillId="0" borderId="2" xfId="0" quotePrefix="1" applyFont="1" applyBorder="1"/>
    <xf numFmtId="0" fontId="3" fillId="0" borderId="2" xfId="0" quotePrefix="1" applyFont="1" applyBorder="1" applyAlignment="1">
      <alignment horizontal="center"/>
    </xf>
    <xf numFmtId="2" fontId="3" fillId="0" borderId="2" xfId="0" applyNumberFormat="1" applyFont="1" applyBorder="1"/>
    <xf numFmtId="0" fontId="3" fillId="0" borderId="22" xfId="0" quotePrefix="1" applyFont="1" applyBorder="1"/>
    <xf numFmtId="0" fontId="3" fillId="0" borderId="22" xfId="0" quotePrefix="1" applyFont="1" applyBorder="1" applyAlignment="1">
      <alignment horizontal="center"/>
    </xf>
    <xf numFmtId="2" fontId="3" fillId="0" borderId="22" xfId="0" applyNumberFormat="1" applyFont="1" applyBorder="1"/>
    <xf numFmtId="0" fontId="3" fillId="0" borderId="23" xfId="0" applyFont="1" applyBorder="1" applyAlignment="1">
      <alignment wrapText="1"/>
    </xf>
    <xf numFmtId="0" fontId="3" fillId="0" borderId="22" xfId="0" applyFont="1" applyBorder="1" applyAlignment="1">
      <alignment wrapText="1"/>
    </xf>
    <xf numFmtId="4" fontId="3" fillId="0" borderId="1" xfId="0" applyNumberFormat="1" applyFont="1" applyBorder="1"/>
    <xf numFmtId="0" fontId="3" fillId="0" borderId="1" xfId="0" quotePrefix="1" applyFont="1" applyBorder="1" applyAlignment="1"/>
    <xf numFmtId="2" fontId="3" fillId="0" borderId="1" xfId="0" quotePrefix="1" applyNumberFormat="1" applyFont="1" applyBorder="1" applyAlignment="1">
      <alignment horizontal="center"/>
    </xf>
    <xf numFmtId="2" fontId="3" fillId="0" borderId="1" xfId="0" applyNumberFormat="1" applyFont="1" applyBorder="1"/>
    <xf numFmtId="2" fontId="3" fillId="0" borderId="23" xfId="0" quotePrefix="1" applyNumberFormat="1" applyFont="1" applyBorder="1" applyAlignment="1">
      <alignment horizontal="center" wrapText="1"/>
    </xf>
    <xf numFmtId="0" fontId="3" fillId="0" borderId="26" xfId="0" applyFont="1" applyFill="1" applyBorder="1" applyAlignment="1">
      <alignment horizontal="center" vertical="top"/>
    </xf>
    <xf numFmtId="2" fontId="3" fillId="0" borderId="22" xfId="0" quotePrefix="1" applyNumberFormat="1" applyFont="1" applyBorder="1" applyAlignment="1">
      <alignment horizontal="center" wrapText="1"/>
    </xf>
    <xf numFmtId="0" fontId="3" fillId="0" borderId="6" xfId="0" applyFont="1" applyFill="1" applyBorder="1" applyAlignment="1">
      <alignment horizontal="center" vertical="top"/>
    </xf>
    <xf numFmtId="0" fontId="3" fillId="0" borderId="19" xfId="0" applyFont="1" applyBorder="1" applyAlignment="1">
      <alignment horizontal="center"/>
    </xf>
    <xf numFmtId="4" fontId="3" fillId="0" borderId="19" xfId="0" applyNumberFormat="1" applyFont="1" applyBorder="1" applyAlignment="1">
      <alignment horizontal="center"/>
    </xf>
    <xf numFmtId="4" fontId="3" fillId="0" borderId="19" xfId="0" applyNumberFormat="1" applyFont="1" applyBorder="1" applyAlignment="1">
      <alignment horizontal="right"/>
    </xf>
    <xf numFmtId="4" fontId="3" fillId="0" borderId="1" xfId="0" applyNumberFormat="1" applyFont="1" applyBorder="1" applyAlignment="1">
      <alignment horizontal="center"/>
    </xf>
    <xf numFmtId="4" fontId="3" fillId="0" borderId="35" xfId="0" applyNumberFormat="1" applyFont="1" applyFill="1" applyBorder="1" applyAlignment="1">
      <alignment vertical="top" wrapText="1"/>
    </xf>
    <xf numFmtId="0" fontId="3" fillId="0" borderId="35" xfId="0" applyFont="1" applyFill="1" applyBorder="1" applyAlignment="1">
      <alignment horizontal="left" vertical="top" wrapText="1"/>
    </xf>
    <xf numFmtId="4" fontId="3" fillId="0" borderId="0" xfId="0" applyNumberFormat="1" applyFont="1" applyFill="1" applyBorder="1" applyAlignment="1">
      <alignment wrapText="1"/>
    </xf>
    <xf numFmtId="4" fontId="3" fillId="0" borderId="23" xfId="0" applyNumberFormat="1" applyFont="1" applyFill="1" applyBorder="1" applyAlignment="1">
      <alignment wrapText="1"/>
    </xf>
    <xf numFmtId="0" fontId="3" fillId="0" borderId="22" xfId="0" applyFont="1" applyFill="1" applyBorder="1" applyAlignment="1">
      <alignment horizontal="left" vertical="top" wrapText="1"/>
    </xf>
    <xf numFmtId="0" fontId="3" fillId="0" borderId="5" xfId="0" applyFont="1" applyFill="1" applyBorder="1" applyAlignment="1">
      <alignment horizontal="center" vertical="top"/>
    </xf>
    <xf numFmtId="4" fontId="3" fillId="0" borderId="36" xfId="0" applyNumberFormat="1" applyFont="1" applyFill="1" applyBorder="1" applyAlignment="1">
      <alignment vertical="top" wrapText="1"/>
    </xf>
    <xf numFmtId="0" fontId="3" fillId="0" borderId="36" xfId="0" applyFont="1" applyFill="1" applyBorder="1" applyAlignment="1">
      <alignment wrapText="1"/>
    </xf>
    <xf numFmtId="0" fontId="3" fillId="0" borderId="5" xfId="0" applyFont="1" applyBorder="1" applyAlignment="1">
      <alignment horizontal="center" vertical="center"/>
    </xf>
    <xf numFmtId="4" fontId="3" fillId="0" borderId="37" xfId="0" applyNumberFormat="1" applyFont="1" applyFill="1" applyBorder="1" applyAlignment="1"/>
    <xf numFmtId="0" fontId="2" fillId="0" borderId="22" xfId="0" applyFont="1" applyBorder="1" applyAlignment="1">
      <alignment horizontal="left" vertical="center"/>
    </xf>
    <xf numFmtId="0" fontId="3" fillId="0" borderId="2" xfId="0" applyFont="1" applyBorder="1"/>
    <xf numFmtId="0" fontId="3" fillId="0" borderId="35" xfId="0" applyFont="1" applyFill="1" applyBorder="1" applyAlignment="1">
      <alignment wrapText="1"/>
    </xf>
    <xf numFmtId="0" fontId="3" fillId="0" borderId="35" xfId="0" applyFont="1" applyFill="1" applyBorder="1" applyAlignment="1">
      <alignment horizontal="center" vertical="top" wrapText="1"/>
    </xf>
    <xf numFmtId="0" fontId="3" fillId="0" borderId="35" xfId="0" applyNumberFormat="1" applyFont="1" applyFill="1" applyBorder="1" applyAlignment="1">
      <alignment wrapText="1"/>
    </xf>
    <xf numFmtId="4" fontId="3" fillId="0" borderId="35" xfId="0" applyNumberFormat="1" applyFont="1" applyFill="1" applyBorder="1" applyAlignment="1">
      <alignment wrapText="1"/>
    </xf>
    <xf numFmtId="0" fontId="3" fillId="0" borderId="35" xfId="0" applyFont="1" applyFill="1" applyBorder="1" applyAlignment="1">
      <alignment horizontal="center" wrapText="1"/>
    </xf>
    <xf numFmtId="4" fontId="3" fillId="0" borderId="35" xfId="0" quotePrefix="1" applyNumberFormat="1" applyFont="1" applyFill="1" applyBorder="1" applyAlignment="1">
      <alignment wrapText="1"/>
    </xf>
    <xf numFmtId="4" fontId="3" fillId="0" borderId="36" xfId="0" applyNumberFormat="1" applyFont="1" applyFill="1" applyBorder="1" applyAlignment="1">
      <alignment wrapText="1"/>
    </xf>
    <xf numFmtId="0" fontId="2" fillId="0" borderId="21" xfId="0" applyFont="1" applyBorder="1" applyAlignment="1">
      <alignment horizontal="center" vertical="center"/>
    </xf>
    <xf numFmtId="0" fontId="2" fillId="0" borderId="23" xfId="0" applyFont="1" applyBorder="1" applyAlignment="1">
      <alignment horizontal="left" vertical="center"/>
    </xf>
    <xf numFmtId="0" fontId="3" fillId="0" borderId="1" xfId="0" quotePrefix="1" applyFont="1" applyBorder="1"/>
    <xf numFmtId="0" fontId="6" fillId="0" borderId="22" xfId="0" applyFont="1" applyBorder="1" applyAlignment="1">
      <alignment horizontal="left" vertical="center"/>
    </xf>
    <xf numFmtId="0" fontId="3" fillId="0" borderId="1" xfId="0" applyFont="1" applyBorder="1" applyAlignment="1">
      <alignment horizontal="left" vertical="center"/>
    </xf>
    <xf numFmtId="2" fontId="3" fillId="0" borderId="1" xfId="0" quotePrefix="1" applyNumberFormat="1" applyFont="1" applyBorder="1" applyAlignment="1">
      <alignment horizontal="left"/>
    </xf>
    <xf numFmtId="0" fontId="3" fillId="0" borderId="2" xfId="0" quotePrefix="1" applyFont="1" applyBorder="1" applyAlignment="1">
      <alignment horizontal="left" vertical="center"/>
    </xf>
    <xf numFmtId="2" fontId="3" fillId="0" borderId="2" xfId="0" quotePrefix="1" applyNumberFormat="1" applyFont="1" applyBorder="1" applyAlignment="1">
      <alignment horizontal="center" vertical="center"/>
    </xf>
    <xf numFmtId="0" fontId="3" fillId="0" borderId="1" xfId="0" quotePrefix="1" applyFont="1" applyBorder="1" applyAlignment="1">
      <alignment horizontal="left" vertical="center" wrapText="1"/>
    </xf>
    <xf numFmtId="0" fontId="3" fillId="0" borderId="22" xfId="0" quotePrefix="1" applyFont="1" applyBorder="1" applyAlignment="1">
      <alignment horizontal="left" vertical="center"/>
    </xf>
    <xf numFmtId="0" fontId="3" fillId="0" borderId="1" xfId="0" quotePrefix="1" applyFont="1" applyFill="1" applyBorder="1" applyAlignment="1">
      <alignment horizontal="left" vertical="center" wrapText="1"/>
    </xf>
    <xf numFmtId="0" fontId="3" fillId="0" borderId="1" xfId="0" applyFont="1" applyFill="1" applyBorder="1" applyAlignment="1">
      <alignment horizontal="center"/>
    </xf>
    <xf numFmtId="2" fontId="3" fillId="0" borderId="1" xfId="0" quotePrefix="1" applyNumberFormat="1" applyFont="1" applyFill="1" applyBorder="1" applyAlignment="1">
      <alignment horizontal="center" vertical="center" wrapText="1"/>
    </xf>
    <xf numFmtId="1" fontId="3" fillId="0" borderId="2" xfId="0" applyNumberFormat="1" applyFont="1" applyBorder="1" applyAlignment="1">
      <alignment horizontal="center"/>
    </xf>
    <xf numFmtId="0" fontId="3" fillId="0" borderId="23" xfId="0" applyFont="1" applyFill="1" applyBorder="1" applyAlignment="1">
      <alignment horizontal="left" vertical="center" wrapText="1"/>
    </xf>
    <xf numFmtId="0" fontId="3" fillId="0" borderId="19" xfId="0" applyFont="1" applyFill="1" applyBorder="1" applyAlignment="1">
      <alignment horizontal="left" vertical="center" wrapText="1"/>
    </xf>
    <xf numFmtId="4" fontId="3" fillId="2" borderId="10" xfId="0" applyNumberFormat="1" applyFont="1" applyFill="1" applyBorder="1" applyAlignment="1">
      <alignment horizontal="right"/>
    </xf>
    <xf numFmtId="0" fontId="2" fillId="2" borderId="25" xfId="0" applyFont="1" applyFill="1" applyBorder="1" applyAlignment="1">
      <alignment horizontal="left" vertical="center"/>
    </xf>
    <xf numFmtId="4" fontId="3" fillId="2" borderId="9" xfId="0" applyNumberFormat="1" applyFont="1" applyFill="1" applyBorder="1" applyAlignment="1">
      <alignment horizontal="right"/>
    </xf>
    <xf numFmtId="0" fontId="3" fillId="2" borderId="0" xfId="0" applyFont="1" applyFill="1"/>
    <xf numFmtId="0" fontId="3" fillId="2" borderId="4" xfId="0" applyFont="1" applyFill="1" applyBorder="1" applyAlignment="1">
      <alignment horizontal="center" vertical="center" wrapText="1"/>
    </xf>
    <xf numFmtId="0" fontId="3" fillId="2" borderId="4" xfId="0" applyFont="1" applyFill="1" applyBorder="1" applyAlignment="1">
      <alignment horizontal="center"/>
    </xf>
    <xf numFmtId="0" fontId="3" fillId="2" borderId="12" xfId="0" applyFont="1" applyFill="1" applyBorder="1" applyAlignment="1">
      <alignment horizontal="center"/>
    </xf>
    <xf numFmtId="0" fontId="6" fillId="2" borderId="27" xfId="0" applyFont="1" applyFill="1" applyBorder="1" applyAlignment="1">
      <alignment horizontal="left" vertical="center"/>
    </xf>
    <xf numFmtId="0" fontId="6" fillId="2" borderId="24" xfId="0" applyFont="1" applyFill="1" applyBorder="1" applyAlignment="1">
      <alignment horizontal="left" vertical="center"/>
    </xf>
    <xf numFmtId="4" fontId="3" fillId="2" borderId="25" xfId="0" applyNumberFormat="1" applyFont="1" applyFill="1" applyBorder="1" applyAlignment="1">
      <alignment horizontal="right"/>
    </xf>
    <xf numFmtId="4" fontId="3" fillId="2" borderId="24" xfId="0" applyNumberFormat="1" applyFont="1" applyFill="1" applyBorder="1" applyAlignment="1">
      <alignment horizontal="right"/>
    </xf>
    <xf numFmtId="0" fontId="3" fillId="2" borderId="7" xfId="0" applyFont="1" applyFill="1" applyBorder="1"/>
    <xf numFmtId="4" fontId="2" fillId="2" borderId="33" xfId="0" applyNumberFormat="1" applyFont="1" applyFill="1" applyBorder="1" applyAlignment="1">
      <alignment horizontal="right" vertical="center"/>
    </xf>
    <xf numFmtId="0" fontId="3" fillId="2" borderId="29" xfId="0" applyFont="1" applyFill="1" applyBorder="1"/>
    <xf numFmtId="0" fontId="3" fillId="2" borderId="27" xfId="0" applyFont="1" applyFill="1" applyBorder="1" applyAlignment="1">
      <alignment horizontal="left" vertical="center"/>
    </xf>
    <xf numFmtId="0" fontId="3" fillId="2" borderId="24" xfId="0" applyFont="1" applyFill="1" applyBorder="1" applyAlignment="1">
      <alignment horizontal="left" vertical="center"/>
    </xf>
    <xf numFmtId="0" fontId="6" fillId="2" borderId="7" xfId="0" applyFont="1" applyFill="1" applyBorder="1" applyAlignment="1">
      <alignment horizontal="left" vertical="center"/>
    </xf>
    <xf numFmtId="0" fontId="3" fillId="2" borderId="34" xfId="0" applyFont="1" applyFill="1" applyBorder="1"/>
    <xf numFmtId="4" fontId="3" fillId="2" borderId="38" xfId="0" applyNumberFormat="1" applyFont="1" applyFill="1" applyBorder="1" applyAlignment="1">
      <alignment vertical="top" wrapText="1"/>
    </xf>
    <xf numFmtId="4" fontId="3" fillId="2" borderId="39" xfId="0" applyNumberFormat="1" applyFont="1" applyFill="1" applyBorder="1" applyAlignment="1">
      <alignment vertical="top" wrapText="1"/>
    </xf>
    <xf numFmtId="4" fontId="3" fillId="2" borderId="39" xfId="0" applyNumberFormat="1" applyFont="1" applyFill="1" applyBorder="1" applyAlignment="1">
      <alignment wrapText="1"/>
    </xf>
    <xf numFmtId="0" fontId="2" fillId="2" borderId="24" xfId="0" applyFont="1" applyFill="1" applyBorder="1" applyAlignment="1">
      <alignment horizontal="left" vertical="center"/>
    </xf>
    <xf numFmtId="0" fontId="3" fillId="2" borderId="9" xfId="0" applyFont="1" applyFill="1" applyBorder="1"/>
    <xf numFmtId="0" fontId="2" fillId="2" borderId="27" xfId="0" applyFont="1" applyFill="1" applyBorder="1" applyAlignment="1">
      <alignment horizontal="left" vertical="center"/>
    </xf>
    <xf numFmtId="0" fontId="3" fillId="2" borderId="25" xfId="0" applyFont="1" applyFill="1" applyBorder="1"/>
    <xf numFmtId="0" fontId="3" fillId="2" borderId="24" xfId="0" applyFont="1" applyFill="1" applyBorder="1"/>
    <xf numFmtId="4" fontId="3" fillId="2" borderId="27" xfId="0" applyNumberFormat="1" applyFont="1" applyFill="1" applyBorder="1" applyAlignment="1">
      <alignment horizontal="right"/>
    </xf>
    <xf numFmtId="0" fontId="3" fillId="2" borderId="0" xfId="0" applyFont="1" applyFill="1" applyBorder="1"/>
    <xf numFmtId="0" fontId="3" fillId="2" borderId="11" xfId="0" applyFont="1" applyFill="1" applyBorder="1"/>
    <xf numFmtId="4" fontId="1" fillId="2" borderId="11" xfId="0" applyNumberFormat="1" applyFont="1" applyFill="1" applyBorder="1"/>
    <xf numFmtId="4" fontId="1" fillId="2" borderId="28" xfId="0" applyNumberFormat="1" applyFont="1" applyFill="1" applyBorder="1"/>
    <xf numFmtId="0" fontId="2" fillId="2" borderId="8" xfId="0" applyFont="1" applyFill="1" applyBorder="1" applyAlignment="1">
      <alignment horizontal="center" vertical="center"/>
    </xf>
    <xf numFmtId="0" fontId="2" fillId="2" borderId="14" xfId="0" applyFont="1" applyFill="1" applyBorder="1" applyAlignment="1">
      <alignment vertical="center"/>
    </xf>
    <xf numFmtId="0" fontId="3" fillId="2" borderId="14" xfId="0" applyFont="1" applyFill="1" applyBorder="1"/>
    <xf numFmtId="0" fontId="4" fillId="2" borderId="0" xfId="0" applyFont="1" applyFill="1"/>
    <xf numFmtId="0" fontId="2" fillId="2" borderId="13" xfId="0" applyFont="1" applyFill="1" applyBorder="1" applyAlignment="1">
      <alignment horizontal="left" vertical="center"/>
    </xf>
    <xf numFmtId="0" fontId="2" fillId="2" borderId="14" xfId="0" applyFont="1" applyFill="1" applyBorder="1" applyAlignment="1">
      <alignment horizontal="left" vertical="center"/>
    </xf>
    <xf numFmtId="0" fontId="2" fillId="2" borderId="15" xfId="0" applyFont="1" applyFill="1" applyBorder="1" applyAlignment="1">
      <alignment horizontal="left" vertical="center"/>
    </xf>
    <xf numFmtId="0" fontId="2" fillId="2" borderId="16" xfId="0" applyFont="1" applyFill="1" applyBorder="1" applyAlignment="1">
      <alignment horizontal="center" vertical="center"/>
    </xf>
    <xf numFmtId="4" fontId="1" fillId="2" borderId="40" xfId="0" applyNumberFormat="1" applyFont="1" applyFill="1" applyBorder="1"/>
    <xf numFmtId="4" fontId="3" fillId="2" borderId="1" xfId="0" applyNumberFormat="1" applyFont="1" applyFill="1" applyBorder="1" applyAlignment="1">
      <alignment horizontal="right"/>
    </xf>
    <xf numFmtId="4" fontId="3" fillId="2" borderId="1" xfId="0" applyNumberFormat="1" applyFont="1" applyFill="1" applyBorder="1" applyAlignment="1">
      <alignment horizontal="center"/>
    </xf>
    <xf numFmtId="0" fontId="3" fillId="2" borderId="23" xfId="0" applyFont="1" applyFill="1" applyBorder="1" applyAlignment="1">
      <alignment horizontal="center"/>
    </xf>
    <xf numFmtId="0" fontId="3" fillId="2" borderId="1" xfId="0" applyFont="1" applyFill="1" applyBorder="1" applyAlignment="1">
      <alignment horizontal="left" vertical="center" wrapText="1"/>
    </xf>
    <xf numFmtId="0" fontId="3" fillId="2" borderId="21" xfId="0" applyFont="1" applyFill="1" applyBorder="1" applyAlignment="1">
      <alignment horizontal="center" vertical="top"/>
    </xf>
    <xf numFmtId="4" fontId="3" fillId="2" borderId="19" xfId="0" applyNumberFormat="1" applyFont="1" applyFill="1" applyBorder="1" applyAlignment="1">
      <alignment horizontal="right"/>
    </xf>
    <xf numFmtId="4" fontId="3" fillId="2" borderId="19" xfId="0" applyNumberFormat="1" applyFont="1" applyFill="1" applyBorder="1" applyAlignment="1">
      <alignment horizontal="center"/>
    </xf>
    <xf numFmtId="0" fontId="3" fillId="2" borderId="19" xfId="0" applyFont="1" applyFill="1" applyBorder="1" applyAlignment="1">
      <alignment horizontal="center"/>
    </xf>
    <xf numFmtId="0" fontId="3" fillId="2" borderId="19" xfId="0" applyFont="1" applyFill="1" applyBorder="1" applyAlignment="1">
      <alignment horizontal="left" vertical="center" wrapText="1"/>
    </xf>
    <xf numFmtId="0" fontId="3" fillId="2" borderId="17" xfId="0" applyFont="1" applyFill="1" applyBorder="1" applyAlignment="1">
      <alignment horizontal="center" vertical="top"/>
    </xf>
    <xf numFmtId="2" fontId="3" fillId="2" borderId="1" xfId="0" quotePrefix="1" applyNumberFormat="1" applyFont="1" applyFill="1" applyBorder="1" applyAlignment="1">
      <alignment horizontal="center" vertical="center" wrapText="1"/>
    </xf>
    <xf numFmtId="0" fontId="3" fillId="2" borderId="1" xfId="0" applyFont="1" applyFill="1" applyBorder="1" applyAlignment="1">
      <alignment horizontal="center"/>
    </xf>
    <xf numFmtId="0" fontId="3" fillId="2" borderId="1" xfId="0" quotePrefix="1" applyFont="1" applyFill="1" applyBorder="1"/>
    <xf numFmtId="0" fontId="3" fillId="2" borderId="6" xfId="0" applyFont="1" applyFill="1" applyBorder="1" applyAlignment="1">
      <alignment horizontal="center" vertical="top"/>
    </xf>
    <xf numFmtId="4" fontId="3" fillId="2" borderId="22" xfId="0" applyNumberFormat="1" applyFont="1" applyFill="1" applyBorder="1" applyAlignment="1">
      <alignment horizontal="right"/>
    </xf>
    <xf numFmtId="2" fontId="3" fillId="2" borderId="22" xfId="0" quotePrefix="1" applyNumberFormat="1" applyFont="1" applyFill="1" applyBorder="1" applyAlignment="1">
      <alignment horizontal="center" wrapText="1"/>
    </xf>
    <xf numFmtId="0" fontId="3" fillId="2" borderId="22" xfId="0" applyFont="1" applyFill="1" applyBorder="1" applyAlignment="1">
      <alignment horizontal="center"/>
    </xf>
    <xf numFmtId="0" fontId="3" fillId="2" borderId="22" xfId="0" quotePrefix="1" applyFont="1" applyFill="1" applyBorder="1" applyAlignment="1">
      <alignment horizontal="left" vertical="center" wrapText="1"/>
    </xf>
    <xf numFmtId="0" fontId="3" fillId="2" borderId="26" xfId="0" applyFont="1" applyFill="1" applyBorder="1" applyAlignment="1">
      <alignment horizontal="center" vertical="top"/>
    </xf>
    <xf numFmtId="4" fontId="3" fillId="2" borderId="23" xfId="0" applyNumberFormat="1" applyFont="1" applyFill="1" applyBorder="1" applyAlignment="1">
      <alignment horizontal="right"/>
    </xf>
    <xf numFmtId="2" fontId="3" fillId="2" borderId="23" xfId="0" quotePrefix="1" applyNumberFormat="1" applyFont="1" applyFill="1" applyBorder="1" applyAlignment="1">
      <alignment horizontal="center" wrapText="1"/>
    </xf>
    <xf numFmtId="0" fontId="3" fillId="2" borderId="23" xfId="0" quotePrefix="1" applyFont="1" applyFill="1" applyBorder="1" applyAlignment="1">
      <alignment horizontal="left" vertical="center" wrapText="1"/>
    </xf>
    <xf numFmtId="2" fontId="3" fillId="2" borderId="22" xfId="0" quotePrefix="1" applyNumberFormat="1" applyFont="1" applyFill="1" applyBorder="1" applyAlignment="1">
      <alignment horizontal="center" vertical="center" wrapText="1"/>
    </xf>
    <xf numFmtId="4" fontId="3" fillId="2" borderId="2" xfId="0" applyNumberFormat="1" applyFont="1" applyFill="1" applyBorder="1" applyAlignment="1">
      <alignment horizontal="right"/>
    </xf>
    <xf numFmtId="2" fontId="3" fillId="2" borderId="2" xfId="0" quotePrefix="1" applyNumberFormat="1" applyFont="1" applyFill="1" applyBorder="1" applyAlignment="1">
      <alignment horizontal="center" vertical="center" wrapText="1"/>
    </xf>
    <xf numFmtId="0" fontId="3" fillId="2" borderId="2" xfId="0" applyFont="1" applyFill="1" applyBorder="1" applyAlignment="1">
      <alignment horizontal="center"/>
    </xf>
    <xf numFmtId="0" fontId="3" fillId="2" borderId="2" xfId="0" applyFont="1" applyFill="1" applyBorder="1" applyAlignment="1">
      <alignment horizontal="left" vertical="center" wrapText="1"/>
    </xf>
    <xf numFmtId="0" fontId="3" fillId="2" borderId="5" xfId="0" applyFont="1" applyFill="1" applyBorder="1" applyAlignment="1">
      <alignment horizontal="center" vertical="top"/>
    </xf>
    <xf numFmtId="2" fontId="3" fillId="2" borderId="23" xfId="0" quotePrefix="1" applyNumberFormat="1" applyFont="1" applyFill="1" applyBorder="1" applyAlignment="1">
      <alignment horizontal="center" vertical="center" wrapText="1"/>
    </xf>
    <xf numFmtId="0" fontId="3" fillId="2" borderId="23" xfId="0" applyFont="1" applyFill="1" applyBorder="1" applyAlignment="1">
      <alignment horizontal="left" vertical="center" wrapText="1"/>
    </xf>
    <xf numFmtId="2" fontId="3" fillId="2" borderId="1" xfId="0" applyNumberFormat="1" applyFont="1" applyFill="1" applyBorder="1"/>
    <xf numFmtId="2" fontId="3" fillId="2" borderId="1" xfId="0" quotePrefix="1" applyNumberFormat="1" applyFont="1" applyFill="1" applyBorder="1" applyAlignment="1">
      <alignment horizontal="center"/>
    </xf>
    <xf numFmtId="0" fontId="3" fillId="2" borderId="6" xfId="0" applyFont="1" applyFill="1" applyBorder="1"/>
    <xf numFmtId="2" fontId="3" fillId="2" borderId="22" xfId="0" applyNumberFormat="1" applyFont="1" applyFill="1" applyBorder="1"/>
    <xf numFmtId="0" fontId="3" fillId="2" borderId="22" xfId="0" applyFont="1" applyFill="1" applyBorder="1"/>
    <xf numFmtId="0" fontId="3" fillId="2" borderId="26" xfId="0" applyFont="1" applyFill="1" applyBorder="1" applyAlignment="1">
      <alignment horizontal="center"/>
    </xf>
    <xf numFmtId="0" fontId="3" fillId="2" borderId="22" xfId="0" applyFont="1" applyFill="1" applyBorder="1" applyAlignment="1">
      <alignment wrapText="1"/>
    </xf>
    <xf numFmtId="4" fontId="3" fillId="2" borderId="1" xfId="0" applyNumberFormat="1" applyFont="1" applyFill="1" applyBorder="1"/>
    <xf numFmtId="0" fontId="3" fillId="2" borderId="1" xfId="0" quotePrefix="1" applyFont="1" applyFill="1" applyBorder="1" applyAlignment="1">
      <alignment horizontal="left" vertical="center" wrapText="1"/>
    </xf>
    <xf numFmtId="0" fontId="3" fillId="2" borderId="26" xfId="0" applyFont="1" applyFill="1" applyBorder="1"/>
    <xf numFmtId="2" fontId="3" fillId="2" borderId="23" xfId="0" applyNumberFormat="1" applyFont="1" applyFill="1" applyBorder="1"/>
    <xf numFmtId="0" fontId="3" fillId="2" borderId="23" xfId="0" applyFont="1" applyFill="1" applyBorder="1" applyAlignment="1">
      <alignment wrapText="1"/>
    </xf>
    <xf numFmtId="2" fontId="3" fillId="2" borderId="2" xfId="0" applyNumberFormat="1" applyFont="1" applyFill="1" applyBorder="1"/>
    <xf numFmtId="0" fontId="3" fillId="2" borderId="22" xfId="0" quotePrefix="1" applyFont="1" applyFill="1" applyBorder="1" applyAlignment="1">
      <alignment horizontal="center"/>
    </xf>
    <xf numFmtId="0" fontId="3" fillId="2" borderId="22" xfId="0" quotePrefix="1" applyFont="1" applyFill="1" applyBorder="1"/>
    <xf numFmtId="0" fontId="3" fillId="2" borderId="23" xfId="0" applyFont="1" applyFill="1" applyBorder="1"/>
    <xf numFmtId="0" fontId="3" fillId="2" borderId="21" xfId="0" applyFont="1" applyFill="1" applyBorder="1"/>
    <xf numFmtId="0" fontId="3" fillId="2" borderId="2" xfId="0" quotePrefix="1" applyFont="1" applyFill="1" applyBorder="1" applyAlignment="1">
      <alignment horizontal="center"/>
    </xf>
    <xf numFmtId="0" fontId="3" fillId="2" borderId="2" xfId="0" quotePrefix="1" applyFont="1" applyFill="1" applyBorder="1"/>
    <xf numFmtId="0" fontId="3" fillId="2" borderId="5" xfId="0" applyFont="1" applyFill="1" applyBorder="1"/>
    <xf numFmtId="0" fontId="3" fillId="2" borderId="2" xfId="0" applyFont="1" applyFill="1" applyBorder="1"/>
    <xf numFmtId="0" fontId="2" fillId="2" borderId="19" xfId="0" applyFont="1" applyFill="1" applyBorder="1" applyAlignment="1">
      <alignment horizontal="left" vertical="center"/>
    </xf>
    <xf numFmtId="0" fontId="3" fillId="2" borderId="19" xfId="0" applyFont="1" applyFill="1" applyBorder="1" applyAlignment="1">
      <alignment wrapText="1"/>
    </xf>
    <xf numFmtId="4" fontId="3" fillId="2" borderId="37" xfId="0" applyNumberFormat="1" applyFont="1" applyFill="1" applyBorder="1"/>
    <xf numFmtId="0" fontId="2" fillId="2" borderId="22" xfId="0" applyFont="1" applyFill="1" applyBorder="1" applyAlignment="1">
      <alignment horizontal="left" vertical="center"/>
    </xf>
    <xf numFmtId="4" fontId="3" fillId="2" borderId="35" xfId="0" applyNumberFormat="1" applyFont="1" applyFill="1" applyBorder="1" applyAlignment="1">
      <alignment wrapText="1"/>
    </xf>
    <xf numFmtId="0" fontId="2" fillId="2" borderId="26" xfId="0" applyFont="1" applyFill="1" applyBorder="1" applyAlignment="1">
      <alignment horizontal="center" vertical="center"/>
    </xf>
    <xf numFmtId="4" fontId="3" fillId="2" borderId="22" xfId="0" applyNumberFormat="1" applyFont="1" applyFill="1" applyBorder="1" applyAlignment="1">
      <alignment wrapText="1"/>
    </xf>
    <xf numFmtId="4" fontId="3" fillId="2" borderId="36" xfId="0" applyNumberFormat="1" applyFont="1" applyFill="1" applyBorder="1" applyAlignment="1">
      <alignment wrapText="1"/>
    </xf>
    <xf numFmtId="4" fontId="3" fillId="2" borderId="0" xfId="0" applyNumberFormat="1" applyFont="1" applyFill="1" applyAlignment="1">
      <alignment wrapText="1"/>
    </xf>
    <xf numFmtId="0" fontId="3" fillId="2" borderId="2" xfId="0" quotePrefix="1" applyFont="1" applyFill="1" applyBorder="1" applyAlignment="1">
      <alignment horizontal="left" vertical="center" wrapText="1"/>
    </xf>
    <xf numFmtId="0" fontId="2" fillId="2" borderId="23" xfId="0" applyFont="1" applyFill="1" applyBorder="1" applyAlignment="1">
      <alignment horizontal="left" vertical="center"/>
    </xf>
    <xf numFmtId="0" fontId="3" fillId="2" borderId="23" xfId="0" applyFont="1" applyFill="1" applyBorder="1" applyAlignment="1">
      <alignment horizontal="left" vertical="center"/>
    </xf>
    <xf numFmtId="0" fontId="2" fillId="2" borderId="21" xfId="0" applyFont="1" applyFill="1" applyBorder="1" applyAlignment="1">
      <alignment horizontal="center" vertical="center"/>
    </xf>
    <xf numFmtId="4" fontId="3" fillId="2" borderId="35" xfId="0" quotePrefix="1" applyNumberFormat="1" applyFont="1" applyFill="1" applyBorder="1" applyAlignment="1">
      <alignment wrapText="1"/>
    </xf>
    <xf numFmtId="0" fontId="3" fillId="2" borderId="35" xfId="0" applyFont="1" applyFill="1" applyBorder="1" applyAlignment="1">
      <alignment horizontal="center" wrapText="1"/>
    </xf>
    <xf numFmtId="4" fontId="3" fillId="2" borderId="35" xfId="0" applyNumberFormat="1" applyFont="1" applyFill="1" applyBorder="1" applyAlignment="1">
      <alignment vertical="top" wrapText="1"/>
    </xf>
    <xf numFmtId="0" fontId="3" fillId="2" borderId="35" xfId="0" applyFont="1" applyFill="1" applyBorder="1" applyAlignment="1">
      <alignment horizontal="center" vertical="top" wrapText="1"/>
    </xf>
    <xf numFmtId="0" fontId="3" fillId="2" borderId="35" xfId="0" applyFont="1" applyFill="1" applyBorder="1" applyAlignment="1">
      <alignment wrapText="1"/>
    </xf>
    <xf numFmtId="2" fontId="3" fillId="2" borderId="1" xfId="0" applyNumberFormat="1" applyFont="1" applyFill="1" applyBorder="1" applyAlignment="1">
      <alignment horizontal="right" vertical="center"/>
    </xf>
    <xf numFmtId="2" fontId="3" fillId="2" borderId="1" xfId="0" quotePrefix="1"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quotePrefix="1" applyFont="1" applyFill="1" applyBorder="1" applyAlignment="1">
      <alignment horizontal="left" vertical="center"/>
    </xf>
    <xf numFmtId="0" fontId="2" fillId="2" borderId="6" xfId="0" applyFont="1" applyFill="1" applyBorder="1" applyAlignment="1">
      <alignment horizontal="center" vertical="center"/>
    </xf>
    <xf numFmtId="0" fontId="3" fillId="2" borderId="22" xfId="0" applyFont="1" applyFill="1" applyBorder="1" applyAlignment="1">
      <alignment horizontal="left" vertical="center"/>
    </xf>
    <xf numFmtId="0" fontId="3" fillId="2" borderId="22" xfId="0" applyFont="1" applyFill="1" applyBorder="1" applyAlignment="1">
      <alignment horizontal="left" vertical="center" wrapText="1"/>
    </xf>
    <xf numFmtId="0" fontId="3" fillId="2" borderId="19" xfId="0" applyFont="1" applyFill="1" applyBorder="1" applyAlignment="1">
      <alignment horizontal="left" vertical="center"/>
    </xf>
    <xf numFmtId="1" fontId="3" fillId="2" borderId="22" xfId="0" applyNumberFormat="1" applyFont="1" applyFill="1" applyBorder="1" applyAlignment="1">
      <alignment horizontal="center"/>
    </xf>
    <xf numFmtId="1" fontId="3" fillId="2" borderId="23" xfId="0" applyNumberFormat="1" applyFont="1" applyFill="1" applyBorder="1" applyAlignment="1">
      <alignment horizontal="center"/>
    </xf>
    <xf numFmtId="1" fontId="3" fillId="2" borderId="2" xfId="0" applyNumberFormat="1" applyFont="1" applyFill="1" applyBorder="1" applyAlignment="1">
      <alignment horizontal="center"/>
    </xf>
    <xf numFmtId="0" fontId="5" fillId="2" borderId="5" xfId="0" applyFont="1" applyFill="1" applyBorder="1" applyAlignment="1">
      <alignment horizontal="center" vertical="top"/>
    </xf>
    <xf numFmtId="2" fontId="3" fillId="2" borderId="2" xfId="0" applyNumberFormat="1" applyFont="1" applyFill="1" applyBorder="1" applyAlignment="1">
      <alignment horizontal="center"/>
    </xf>
    <xf numFmtId="2" fontId="3" fillId="2" borderId="22" xfId="0" applyNumberFormat="1" applyFont="1" applyFill="1" applyBorder="1" applyAlignment="1">
      <alignment horizontal="center"/>
    </xf>
    <xf numFmtId="2" fontId="3" fillId="2" borderId="23" xfId="0" applyNumberFormat="1" applyFont="1" applyFill="1" applyBorder="1" applyAlignment="1">
      <alignment horizontal="center"/>
    </xf>
    <xf numFmtId="0" fontId="3" fillId="2" borderId="22" xfId="0" quotePrefix="1" applyFont="1" applyFill="1" applyBorder="1" applyAlignment="1">
      <alignment horizontal="left" vertical="center"/>
    </xf>
    <xf numFmtId="2" fontId="3" fillId="2" borderId="2" xfId="0" quotePrefix="1" applyNumberFormat="1" applyFont="1" applyFill="1" applyBorder="1" applyAlignment="1">
      <alignment horizontal="center" vertical="center"/>
    </xf>
    <xf numFmtId="0" fontId="3" fillId="2" borderId="2" xfId="0" quotePrefix="1" applyFont="1" applyFill="1" applyBorder="1" applyAlignment="1">
      <alignment horizontal="left" vertical="center"/>
    </xf>
    <xf numFmtId="0" fontId="2" fillId="2" borderId="7" xfId="0" applyFont="1" applyFill="1" applyBorder="1" applyAlignment="1">
      <alignment horizontal="left" vertical="center"/>
    </xf>
    <xf numFmtId="0" fontId="2" fillId="2" borderId="7"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6" xfId="0" applyFont="1" applyFill="1" applyBorder="1" applyAlignment="1">
      <alignment wrapText="1"/>
    </xf>
    <xf numFmtId="0" fontId="3" fillId="2" borderId="26" xfId="0" applyFont="1" applyFill="1" applyBorder="1" applyAlignment="1">
      <alignment horizontal="center" vertical="center"/>
    </xf>
    <xf numFmtId="4" fontId="3" fillId="2" borderId="36" xfId="0" applyNumberFormat="1" applyFont="1" applyFill="1" applyBorder="1" applyAlignment="1">
      <alignment vertical="top" wrapText="1"/>
    </xf>
    <xf numFmtId="2" fontId="3" fillId="2" borderId="1" xfId="0" quotePrefix="1" applyNumberFormat="1" applyFont="1" applyFill="1" applyBorder="1" applyAlignment="1">
      <alignment horizontal="left"/>
    </xf>
    <xf numFmtId="0" fontId="3" fillId="2" borderId="22" xfId="0" applyFont="1" applyFill="1" applyBorder="1" applyAlignment="1">
      <alignment horizontal="left" vertical="top" wrapText="1"/>
    </xf>
    <xf numFmtId="4" fontId="3" fillId="2" borderId="23" xfId="0" applyNumberFormat="1" applyFont="1" applyFill="1" applyBorder="1" applyAlignment="1">
      <alignment wrapText="1"/>
    </xf>
    <xf numFmtId="0" fontId="3" fillId="2" borderId="35" xfId="0" applyFont="1" applyFill="1" applyBorder="1" applyAlignment="1">
      <alignment horizontal="left" vertical="top" wrapText="1"/>
    </xf>
    <xf numFmtId="0" fontId="3" fillId="2" borderId="2" xfId="0" quotePrefix="1" applyFont="1" applyFill="1" applyBorder="1" applyAlignment="1">
      <alignment horizontal="center" vertical="center" wrapText="1"/>
    </xf>
    <xf numFmtId="0" fontId="3" fillId="2" borderId="23" xfId="0" quotePrefix="1" applyFont="1" applyFill="1" applyBorder="1" applyAlignment="1">
      <alignment horizontal="center" vertical="center" wrapText="1"/>
    </xf>
    <xf numFmtId="0" fontId="3" fillId="2" borderId="1" xfId="0" applyFont="1" applyFill="1" applyBorder="1" applyAlignment="1">
      <alignment horizontal="left" vertical="center"/>
    </xf>
    <xf numFmtId="0" fontId="6" fillId="2" borderId="22" xfId="0" applyFont="1" applyFill="1" applyBorder="1" applyAlignment="1">
      <alignment horizontal="left" vertical="center"/>
    </xf>
    <xf numFmtId="0" fontId="6" fillId="2" borderId="19" xfId="0" applyFont="1" applyFill="1" applyBorder="1" applyAlignment="1">
      <alignment horizontal="left" vertical="center"/>
    </xf>
    <xf numFmtId="0" fontId="2" fillId="2" borderId="17" xfId="0" applyFont="1" applyFill="1" applyBorder="1" applyAlignment="1">
      <alignment horizontal="center" vertical="center"/>
    </xf>
    <xf numFmtId="0" fontId="3" fillId="2" borderId="12" xfId="0" applyFont="1" applyFill="1" applyBorder="1"/>
    <xf numFmtId="0" fontId="3" fillId="2" borderId="3" xfId="0" applyFont="1" applyFill="1" applyBorder="1" applyAlignment="1">
      <alignment horizontal="center"/>
    </xf>
    <xf numFmtId="0" fontId="3" fillId="2" borderId="3" xfId="0" applyFont="1" applyFill="1" applyBorder="1" applyAlignment="1">
      <alignment horizontal="center" vertical="center" wrapText="1"/>
    </xf>
    <xf numFmtId="2" fontId="3" fillId="2" borderId="2" xfId="0" quotePrefix="1" applyNumberFormat="1" applyFont="1" applyFill="1" applyBorder="1" applyAlignment="1">
      <alignment horizontal="center"/>
    </xf>
    <xf numFmtId="1" fontId="3" fillId="2" borderId="1" xfId="0" applyNumberFormat="1" applyFont="1" applyFill="1" applyBorder="1" applyAlignment="1">
      <alignment horizontal="center"/>
    </xf>
    <xf numFmtId="2" fontId="3" fillId="2" borderId="1" xfId="0" quotePrefix="1" applyNumberFormat="1" applyFont="1" applyFill="1" applyBorder="1" applyAlignment="1">
      <alignment horizontal="center" wrapText="1"/>
    </xf>
    <xf numFmtId="4" fontId="3" fillId="2" borderId="41" xfId="0" applyNumberFormat="1" applyFont="1" applyFill="1" applyBorder="1"/>
    <xf numFmtId="4" fontId="3" fillId="2" borderId="0" xfId="0" applyNumberFormat="1" applyFont="1" applyFill="1"/>
    <xf numFmtId="0" fontId="8" fillId="2" borderId="0" xfId="0" applyFont="1" applyFill="1"/>
    <xf numFmtId="49" fontId="3" fillId="2" borderId="42" xfId="0" applyNumberFormat="1" applyFont="1" applyFill="1" applyBorder="1" applyAlignment="1">
      <alignment horizontal="center" vertical="center"/>
    </xf>
    <xf numFmtId="4" fontId="3" fillId="2" borderId="28" xfId="0" applyNumberFormat="1" applyFont="1" applyFill="1" applyBorder="1"/>
    <xf numFmtId="4" fontId="3" fillId="2" borderId="43" xfId="0" applyNumberFormat="1" applyFont="1" applyFill="1" applyBorder="1"/>
    <xf numFmtId="0" fontId="3" fillId="2" borderId="43" xfId="0" applyFont="1" applyFill="1" applyBorder="1"/>
    <xf numFmtId="0" fontId="9" fillId="2" borderId="43" xfId="0" applyFont="1" applyFill="1" applyBorder="1"/>
    <xf numFmtId="49" fontId="3" fillId="2" borderId="44" xfId="0" applyNumberFormat="1" applyFont="1" applyFill="1" applyBorder="1" applyAlignment="1">
      <alignment horizontal="center" vertical="center"/>
    </xf>
    <xf numFmtId="0" fontId="3" fillId="2" borderId="1" xfId="0" applyFont="1" applyFill="1" applyBorder="1" applyAlignment="1">
      <alignment horizontal="center" vertical="top"/>
    </xf>
    <xf numFmtId="4" fontId="3" fillId="2" borderId="22" xfId="0" applyNumberFormat="1" applyFont="1" applyFill="1" applyBorder="1" applyAlignment="1">
      <alignment vertical="top" wrapText="1"/>
    </xf>
    <xf numFmtId="4" fontId="3" fillId="2" borderId="23" xfId="0" applyNumberFormat="1" applyFont="1" applyFill="1" applyBorder="1" applyAlignment="1">
      <alignment vertical="top" wrapText="1"/>
    </xf>
    <xf numFmtId="2" fontId="3" fillId="2" borderId="1" xfId="0" applyNumberFormat="1" applyFont="1" applyFill="1" applyBorder="1" applyAlignment="1">
      <alignment horizontal="center"/>
    </xf>
    <xf numFmtId="4" fontId="3" fillId="2" borderId="22" xfId="0" applyNumberFormat="1" applyFont="1" applyFill="1" applyBorder="1" applyAlignment="1">
      <alignment horizontal="center"/>
    </xf>
    <xf numFmtId="4" fontId="3" fillId="2" borderId="45" xfId="0" applyNumberFormat="1" applyFont="1" applyFill="1" applyBorder="1" applyAlignment="1">
      <alignment wrapText="1"/>
    </xf>
    <xf numFmtId="0" fontId="3" fillId="2" borderId="45" xfId="0" applyFont="1" applyFill="1" applyBorder="1" applyAlignment="1">
      <alignment vertical="center" wrapText="1"/>
    </xf>
    <xf numFmtId="0" fontId="3" fillId="2" borderId="45" xfId="0" applyFont="1" applyFill="1" applyBorder="1" applyAlignment="1">
      <alignment horizontal="left" vertical="center" wrapText="1"/>
    </xf>
    <xf numFmtId="4" fontId="3" fillId="2" borderId="46" xfId="0" applyNumberFormat="1" applyFont="1" applyFill="1" applyBorder="1" applyAlignment="1">
      <alignment horizontal="right"/>
    </xf>
    <xf numFmtId="0" fontId="3" fillId="2" borderId="47" xfId="0" applyFont="1" applyFill="1" applyBorder="1" applyAlignment="1">
      <alignment vertical="top" wrapText="1"/>
    </xf>
    <xf numFmtId="0" fontId="3" fillId="2" borderId="47"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1" xfId="0" quotePrefix="1" applyFont="1" applyFill="1" applyBorder="1" applyAlignment="1">
      <alignment horizontal="center"/>
    </xf>
    <xf numFmtId="0" fontId="3" fillId="2" borderId="22" xfId="0" applyFont="1" applyFill="1" applyBorder="1" applyAlignment="1">
      <alignment vertical="top" wrapText="1"/>
    </xf>
    <xf numFmtId="4" fontId="3" fillId="2" borderId="1" xfId="0" quotePrefix="1" applyNumberFormat="1" applyFont="1" applyFill="1" applyBorder="1" applyAlignment="1">
      <alignment horizontal="center" vertical="center"/>
    </xf>
    <xf numFmtId="0" fontId="3" fillId="2" borderId="1" xfId="0" quotePrefix="1" applyFont="1" applyFill="1" applyBorder="1" applyAlignment="1">
      <alignment horizontal="center" vertical="center" wrapText="1"/>
    </xf>
    <xf numFmtId="0" fontId="3" fillId="2" borderId="10" xfId="0" applyFont="1" applyFill="1" applyBorder="1"/>
    <xf numFmtId="0" fontId="3" fillId="2" borderId="1" xfId="0" applyFont="1" applyFill="1" applyBorder="1"/>
    <xf numFmtId="4" fontId="3" fillId="0" borderId="0" xfId="1" applyFont="1"/>
    <xf numFmtId="4" fontId="3" fillId="0" borderId="0" xfId="1" applyFont="1" applyAlignment="1">
      <alignment horizontal="center"/>
    </xf>
    <xf numFmtId="4" fontId="3" fillId="0" borderId="0" xfId="1" applyFont="1" applyAlignment="1">
      <alignment wrapText="1"/>
    </xf>
    <xf numFmtId="4" fontId="3" fillId="0" borderId="0" xfId="1" applyFont="1" applyAlignment="1">
      <alignment horizontal="center" vertical="top"/>
    </xf>
    <xf numFmtId="4" fontId="1" fillId="0" borderId="48" xfId="1" applyFont="1" applyBorder="1" applyAlignment="1">
      <alignment vertical="center"/>
    </xf>
    <xf numFmtId="4" fontId="10" fillId="0" borderId="51" xfId="1" applyFont="1" applyBorder="1" applyAlignment="1">
      <alignment horizontal="center" vertical="top"/>
    </xf>
    <xf numFmtId="4" fontId="10" fillId="0" borderId="28" xfId="1" applyFont="1" applyBorder="1"/>
    <xf numFmtId="4" fontId="12" fillId="0" borderId="43" xfId="1" applyFont="1" applyBorder="1"/>
    <xf numFmtId="4" fontId="3" fillId="0" borderId="44" xfId="1" applyFont="1" applyBorder="1" applyAlignment="1">
      <alignment horizontal="center" vertical="center"/>
    </xf>
    <xf numFmtId="4" fontId="10" fillId="0" borderId="52" xfId="1" applyFont="1" applyBorder="1"/>
    <xf numFmtId="4" fontId="3" fillId="0" borderId="52" xfId="1" applyFont="1" applyBorder="1" applyAlignment="1">
      <alignment horizontal="center" vertical="center"/>
    </xf>
    <xf numFmtId="4" fontId="5" fillId="0" borderId="0" xfId="1" applyFont="1" applyAlignment="1">
      <alignment horizontal="center" vertical="center" wrapText="1"/>
    </xf>
    <xf numFmtId="4" fontId="5" fillId="0" borderId="0" xfId="1" applyFont="1" applyAlignment="1">
      <alignment horizontal="center"/>
    </xf>
    <xf numFmtId="0" fontId="3" fillId="0" borderId="31" xfId="0" applyFont="1" applyBorder="1" applyAlignment="1">
      <alignment horizontal="right" vertical="center"/>
    </xf>
    <xf numFmtId="0" fontId="4" fillId="0" borderId="30" xfId="0" applyFont="1" applyBorder="1" applyAlignment="1">
      <alignment horizontal="right" vertical="center"/>
    </xf>
    <xf numFmtId="0" fontId="4" fillId="0" borderId="32" xfId="0" applyFont="1" applyBorder="1" applyAlignment="1">
      <alignment horizontal="right" vertical="center"/>
    </xf>
    <xf numFmtId="0" fontId="2" fillId="0" borderId="13" xfId="0" applyFont="1" applyBorder="1" applyAlignment="1">
      <alignment horizontal="left" vertical="center"/>
    </xf>
    <xf numFmtId="0" fontId="6" fillId="0" borderId="14" xfId="0" applyFont="1" applyBorder="1" applyAlignment="1">
      <alignment horizontal="left" vertical="center"/>
    </xf>
    <xf numFmtId="0" fontId="6" fillId="0" borderId="11" xfId="0" applyFont="1" applyBorder="1" applyAlignment="1">
      <alignment horizontal="left" vertical="center"/>
    </xf>
    <xf numFmtId="0" fontId="2" fillId="2" borderId="13" xfId="0" applyFont="1" applyFill="1" applyBorder="1" applyAlignment="1">
      <alignment horizontal="left" vertical="center"/>
    </xf>
    <xf numFmtId="0" fontId="2" fillId="2" borderId="14" xfId="0" applyFont="1" applyFill="1" applyBorder="1" applyAlignment="1">
      <alignment horizontal="left" vertical="center"/>
    </xf>
    <xf numFmtId="0" fontId="2" fillId="2" borderId="15" xfId="0" applyFont="1" applyFill="1" applyBorder="1" applyAlignment="1">
      <alignment horizontal="left" vertical="center"/>
    </xf>
    <xf numFmtId="0" fontId="2" fillId="0" borderId="0" xfId="0" applyFont="1" applyBorder="1" applyAlignment="1">
      <alignment horizontal="center" vertical="center" wrapText="1"/>
    </xf>
    <xf numFmtId="0" fontId="2" fillId="0" borderId="14" xfId="0" applyFont="1" applyBorder="1" applyAlignment="1">
      <alignment horizontal="left" vertical="center"/>
    </xf>
    <xf numFmtId="0" fontId="2" fillId="0" borderId="11" xfId="0" applyFont="1" applyBorder="1" applyAlignment="1">
      <alignment horizontal="left" vertical="center"/>
    </xf>
    <xf numFmtId="0" fontId="1" fillId="0" borderId="0" xfId="0" applyFont="1" applyBorder="1" applyAlignment="1">
      <alignment horizontal="center" vertical="center"/>
    </xf>
    <xf numFmtId="0" fontId="3" fillId="0" borderId="17" xfId="0" applyFont="1" applyBorder="1" applyAlignment="1">
      <alignment horizontal="center" vertical="center" wrapText="1"/>
    </xf>
    <xf numFmtId="0" fontId="4" fillId="0" borderId="18" xfId="0" applyFont="1" applyBorder="1" applyAlignment="1"/>
    <xf numFmtId="0" fontId="3" fillId="0" borderId="19" xfId="0" applyFont="1" applyBorder="1" applyAlignment="1">
      <alignment horizontal="center" vertical="center" wrapText="1"/>
    </xf>
    <xf numFmtId="0" fontId="4" fillId="0" borderId="20" xfId="0" applyFont="1" applyBorder="1" applyAlignment="1"/>
    <xf numFmtId="0" fontId="7" fillId="0" borderId="0" xfId="0" quotePrefix="1" applyFont="1" applyAlignment="1">
      <alignment horizontal="center" vertical="center"/>
    </xf>
    <xf numFmtId="0" fontId="7" fillId="0" borderId="0" xfId="0" applyFont="1" applyAlignment="1">
      <alignment horizontal="center" vertical="center"/>
    </xf>
    <xf numFmtId="0" fontId="1" fillId="0" borderId="14" xfId="0" applyFont="1" applyBorder="1" applyAlignment="1">
      <alignment horizontal="right" vertical="center"/>
    </xf>
    <xf numFmtId="0" fontId="1" fillId="0" borderId="11" xfId="0" applyFont="1" applyBorder="1" applyAlignment="1">
      <alignment horizontal="right" vertical="center"/>
    </xf>
    <xf numFmtId="0" fontId="1" fillId="0" borderId="16"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Border="1" applyAlignment="1">
      <alignment horizontal="center" vertical="center"/>
    </xf>
    <xf numFmtId="0" fontId="3" fillId="2" borderId="31" xfId="0" applyFont="1" applyFill="1" applyBorder="1" applyAlignment="1">
      <alignment horizontal="right" vertical="center"/>
    </xf>
    <xf numFmtId="0" fontId="4" fillId="2" borderId="30" xfId="0" applyFont="1" applyFill="1" applyBorder="1" applyAlignment="1">
      <alignment horizontal="right" vertical="center"/>
    </xf>
    <xf numFmtId="0" fontId="4" fillId="2" borderId="32" xfId="0" applyFont="1" applyFill="1" applyBorder="1" applyAlignment="1">
      <alignment horizontal="right" vertical="center"/>
    </xf>
    <xf numFmtId="0" fontId="2" fillId="2" borderId="0" xfId="0" applyFont="1" applyFill="1" applyAlignment="1">
      <alignment horizontal="center" vertical="center" wrapText="1"/>
    </xf>
    <xf numFmtId="0" fontId="2" fillId="2" borderId="11" xfId="0" applyFont="1" applyFill="1" applyBorder="1" applyAlignment="1">
      <alignment horizontal="left" vertical="center"/>
    </xf>
    <xf numFmtId="0" fontId="1" fillId="2" borderId="14" xfId="0" applyFont="1" applyFill="1" applyBorder="1" applyAlignment="1">
      <alignment horizontal="right" vertical="center"/>
    </xf>
    <xf numFmtId="0" fontId="1" fillId="2" borderId="11" xfId="0" applyFont="1" applyFill="1" applyBorder="1" applyAlignment="1">
      <alignment horizontal="right" vertical="center"/>
    </xf>
    <xf numFmtId="0" fontId="6" fillId="2" borderId="14" xfId="0" applyFont="1" applyFill="1" applyBorder="1" applyAlignment="1">
      <alignment horizontal="left" vertical="center"/>
    </xf>
    <xf numFmtId="0" fontId="6" fillId="2" borderId="11" xfId="0" applyFont="1" applyFill="1" applyBorder="1" applyAlignment="1">
      <alignment horizontal="left" vertical="center"/>
    </xf>
    <xf numFmtId="0" fontId="1" fillId="2" borderId="16"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0" xfId="0" applyFont="1" applyFill="1" applyAlignment="1">
      <alignment horizontal="center" vertical="center"/>
    </xf>
    <xf numFmtId="0" fontId="3" fillId="2" borderId="17" xfId="0" applyFont="1" applyFill="1" applyBorder="1" applyAlignment="1">
      <alignment horizontal="center" vertical="center" wrapText="1"/>
    </xf>
    <xf numFmtId="0" fontId="4" fillId="2" borderId="18" xfId="0" applyFont="1" applyFill="1" applyBorder="1"/>
    <xf numFmtId="0" fontId="3" fillId="2" borderId="19" xfId="0" applyFont="1" applyFill="1" applyBorder="1" applyAlignment="1">
      <alignment horizontal="center" vertical="center" wrapText="1"/>
    </xf>
    <xf numFmtId="0" fontId="4" fillId="2" borderId="20" xfId="0" applyFont="1" applyFill="1" applyBorder="1"/>
    <xf numFmtId="0" fontId="7" fillId="2" borderId="0" xfId="0" quotePrefix="1" applyFont="1" applyFill="1" applyAlignment="1">
      <alignment horizontal="center" vertical="center"/>
    </xf>
    <xf numFmtId="0" fontId="7" fillId="2" borderId="0" xfId="0" applyFont="1" applyFill="1" applyAlignment="1">
      <alignment horizontal="center" vertical="center"/>
    </xf>
    <xf numFmtId="0" fontId="3" fillId="2" borderId="23" xfId="0" applyFont="1" applyFill="1" applyBorder="1" applyAlignment="1">
      <alignment horizontal="center" vertical="top"/>
    </xf>
    <xf numFmtId="0" fontId="3" fillId="2" borderId="22" xfId="0" applyFont="1" applyFill="1" applyBorder="1" applyAlignment="1">
      <alignment horizontal="center" vertical="top"/>
    </xf>
    <xf numFmtId="0" fontId="3" fillId="2" borderId="2" xfId="0" applyFont="1" applyFill="1" applyBorder="1" applyAlignment="1">
      <alignment horizontal="center" vertical="top"/>
    </xf>
    <xf numFmtId="0" fontId="3" fillId="2" borderId="23" xfId="0" applyFont="1" applyFill="1" applyBorder="1" applyAlignment="1">
      <alignment horizontal="center"/>
    </xf>
    <xf numFmtId="0" fontId="3" fillId="2" borderId="22" xfId="0" applyFont="1" applyFill="1" applyBorder="1" applyAlignment="1">
      <alignment horizontal="center"/>
    </xf>
    <xf numFmtId="0" fontId="3" fillId="2" borderId="2" xfId="0" applyFont="1" applyFill="1" applyBorder="1" applyAlignment="1">
      <alignment horizontal="center"/>
    </xf>
    <xf numFmtId="4" fontId="3" fillId="2" borderId="23" xfId="0" applyNumberFormat="1" applyFont="1" applyFill="1" applyBorder="1" applyAlignment="1">
      <alignment horizontal="center"/>
    </xf>
    <xf numFmtId="4" fontId="3" fillId="2" borderId="22" xfId="0" applyNumberFormat="1" applyFont="1" applyFill="1" applyBorder="1" applyAlignment="1">
      <alignment horizontal="center"/>
    </xf>
    <xf numFmtId="4" fontId="3" fillId="2" borderId="2" xfId="0" applyNumberFormat="1" applyFont="1" applyFill="1" applyBorder="1" applyAlignment="1">
      <alignment horizontal="center"/>
    </xf>
    <xf numFmtId="0" fontId="3" fillId="2" borderId="30" xfId="0" applyFont="1" applyFill="1" applyBorder="1" applyAlignment="1">
      <alignment horizontal="right" vertical="center"/>
    </xf>
    <xf numFmtId="0" fontId="3" fillId="2" borderId="32" xfId="0" applyFont="1" applyFill="1" applyBorder="1" applyAlignment="1">
      <alignment horizontal="right" vertical="center"/>
    </xf>
    <xf numFmtId="0" fontId="2" fillId="2" borderId="13" xfId="0" applyFont="1" applyFill="1" applyBorder="1" applyAlignment="1">
      <alignment horizontal="left" vertical="center" wrapText="1"/>
    </xf>
    <xf numFmtId="4" fontId="12" fillId="0" borderId="16" xfId="1" applyFont="1" applyBorder="1"/>
    <xf numFmtId="4" fontId="12" fillId="0" borderId="14" xfId="1" applyFont="1" applyBorder="1"/>
    <xf numFmtId="4" fontId="13" fillId="0" borderId="14" xfId="1" applyFont="1" applyBorder="1"/>
    <xf numFmtId="4" fontId="13" fillId="0" borderId="11" xfId="1" applyFont="1" applyBorder="1"/>
    <xf numFmtId="4" fontId="10" fillId="0" borderId="50" xfId="1" applyFont="1" applyBorder="1" applyAlignment="1">
      <alignment horizontal="right" vertical="center"/>
    </xf>
    <xf numFmtId="4" fontId="10" fillId="0" borderId="49" xfId="1" applyFont="1" applyBorder="1" applyAlignment="1">
      <alignment horizontal="right" vertical="center"/>
    </xf>
    <xf numFmtId="4" fontId="10" fillId="0" borderId="0" xfId="1" quotePrefix="1" applyFont="1" applyAlignment="1">
      <alignment horizontal="center" vertical="center" wrapText="1"/>
    </xf>
    <xf numFmtId="4" fontId="14" fillId="0" borderId="0" xfId="1" applyFont="1" applyAlignment="1">
      <alignment horizontal="center" vertical="center" wrapText="1"/>
    </xf>
    <xf numFmtId="4" fontId="11" fillId="0" borderId="0" xfId="1" applyAlignment="1">
      <alignment horizontal="center"/>
    </xf>
    <xf numFmtId="4" fontId="1" fillId="0" borderId="0" xfId="1" applyFont="1" applyAlignment="1">
      <alignment horizontal="center" vertical="top" wrapText="1"/>
    </xf>
    <xf numFmtId="4" fontId="10" fillId="0" borderId="29" xfId="1" applyFont="1" applyBorder="1" applyAlignment="1">
      <alignment horizontal="center" vertical="center" wrapText="1"/>
    </xf>
  </cellXfs>
  <cellStyles count="2">
    <cellStyle name="Normal" xfId="0" builtinId="0"/>
    <cellStyle name="Normal 2" xfId="1" xr:uid="{260DFC4B-9F56-44E8-AAAD-5CCD9EB47ADB}"/>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9966FF"/>
      <color rgb="FFFF99FF"/>
      <color rgb="FF0099CC"/>
      <color rgb="FFFF66CC"/>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72"/>
  <sheetViews>
    <sheetView showGridLines="0" showZeros="0" view="pageBreakPreview" topLeftCell="A13" zoomScale="110" zoomScaleNormal="100" zoomScaleSheetLayoutView="110" workbookViewId="0">
      <selection activeCell="A3" sqref="A3:F3"/>
    </sheetView>
  </sheetViews>
  <sheetFormatPr defaultColWidth="9.109375" defaultRowHeight="13.2"/>
  <cols>
    <col min="1" max="1" width="9.6640625" style="1" customWidth="1"/>
    <col min="2" max="2" width="36.44140625" style="1" customWidth="1"/>
    <col min="3" max="3" width="5.6640625" style="1" customWidth="1"/>
    <col min="4" max="4" width="9.6640625" style="1" customWidth="1"/>
    <col min="5" max="5" width="15.33203125" style="1" customWidth="1"/>
    <col min="6" max="6" width="15.6640625" style="131" customWidth="1"/>
    <col min="7" max="7" width="1.6640625" style="1" customWidth="1"/>
    <col min="8" max="8" width="13.109375" style="4" customWidth="1"/>
    <col min="9" max="16384" width="9.109375" style="4"/>
  </cols>
  <sheetData>
    <row r="1" spans="1:6" ht="7.5" customHeight="1"/>
    <row r="2" spans="1:6" ht="15.6">
      <c r="A2" s="329" t="s">
        <v>0</v>
      </c>
      <c r="B2" s="329"/>
      <c r="C2" s="329"/>
      <c r="D2" s="329"/>
      <c r="E2" s="329"/>
      <c r="F2" s="329"/>
    </row>
    <row r="3" spans="1:6" ht="41.25" customHeight="1">
      <c r="A3" s="326" t="s">
        <v>326</v>
      </c>
      <c r="B3" s="326"/>
      <c r="C3" s="326"/>
      <c r="D3" s="326"/>
      <c r="E3" s="326"/>
      <c r="F3" s="326"/>
    </row>
    <row r="4" spans="1:6">
      <c r="A4" s="334" t="s">
        <v>39</v>
      </c>
      <c r="B4" s="335"/>
      <c r="C4" s="335"/>
      <c r="D4" s="335"/>
      <c r="E4" s="335"/>
      <c r="F4" s="335"/>
    </row>
    <row r="5" spans="1:6" ht="4.5" customHeight="1" thickBot="1"/>
    <row r="6" spans="1:6" ht="27.6" thickTop="1" thickBot="1">
      <c r="A6" s="330" t="s">
        <v>1</v>
      </c>
      <c r="B6" s="332" t="s">
        <v>4</v>
      </c>
      <c r="C6" s="332" t="s">
        <v>10</v>
      </c>
      <c r="D6" s="5" t="s">
        <v>2</v>
      </c>
      <c r="E6" s="5" t="s">
        <v>5</v>
      </c>
      <c r="F6" s="132" t="s">
        <v>6</v>
      </c>
    </row>
    <row r="7" spans="1:6" ht="14.4" thickTop="1" thickBot="1">
      <c r="A7" s="331"/>
      <c r="B7" s="333"/>
      <c r="C7" s="333"/>
      <c r="D7" s="3" t="s">
        <v>7</v>
      </c>
      <c r="E7" s="3" t="s">
        <v>8</v>
      </c>
      <c r="F7" s="133" t="s">
        <v>9</v>
      </c>
    </row>
    <row r="8" spans="1:6" ht="9.9" customHeight="1" thickTop="1" thickBot="1">
      <c r="A8" s="10"/>
      <c r="B8" s="10"/>
      <c r="C8" s="10"/>
      <c r="D8" s="11"/>
      <c r="E8" s="11"/>
      <c r="F8" s="134"/>
    </row>
    <row r="9" spans="1:6" ht="20.100000000000001" customHeight="1" thickTop="1" thickBot="1">
      <c r="A9" s="9" t="s">
        <v>25</v>
      </c>
      <c r="B9" s="320" t="s">
        <v>12</v>
      </c>
      <c r="C9" s="321"/>
      <c r="D9" s="321"/>
      <c r="E9" s="321"/>
      <c r="F9" s="322"/>
    </row>
    <row r="10" spans="1:6" ht="12.75" customHeight="1" thickTop="1">
      <c r="A10" s="29"/>
      <c r="B10" s="47" t="s">
        <v>45</v>
      </c>
      <c r="C10" s="30"/>
      <c r="D10" s="30"/>
      <c r="E10" s="30"/>
      <c r="F10" s="135"/>
    </row>
    <row r="11" spans="1:6" ht="102" customHeight="1">
      <c r="A11" s="31"/>
      <c r="B11" s="48" t="s">
        <v>46</v>
      </c>
      <c r="C11" s="115"/>
      <c r="D11" s="115"/>
      <c r="E11" s="115"/>
      <c r="F11" s="136"/>
    </row>
    <row r="12" spans="1:6" ht="39.6">
      <c r="A12" s="12" t="s">
        <v>14</v>
      </c>
      <c r="B12" s="49" t="s">
        <v>92</v>
      </c>
      <c r="C12" s="13"/>
      <c r="D12" s="13"/>
      <c r="E12" s="14"/>
      <c r="F12" s="137"/>
    </row>
    <row r="13" spans="1:6" ht="39.6">
      <c r="A13" s="17"/>
      <c r="B13" s="50" t="s">
        <v>66</v>
      </c>
      <c r="C13" s="15"/>
      <c r="D13" s="15"/>
      <c r="E13" s="16"/>
      <c r="F13" s="138"/>
    </row>
    <row r="14" spans="1:6">
      <c r="A14" s="7"/>
      <c r="B14" s="116" t="s">
        <v>100</v>
      </c>
      <c r="C14" s="51" t="s">
        <v>3</v>
      </c>
      <c r="D14" s="51">
        <v>1</v>
      </c>
      <c r="E14" s="42"/>
      <c r="F14" s="128">
        <f t="shared" ref="F14" si="0">D14*E14</f>
        <v>0</v>
      </c>
    </row>
    <row r="15" spans="1:6" ht="66">
      <c r="A15" s="12" t="s">
        <v>15</v>
      </c>
      <c r="B15" s="126" t="s">
        <v>170</v>
      </c>
      <c r="C15" s="13"/>
      <c r="D15" s="13"/>
      <c r="E15" s="14"/>
      <c r="F15" s="137"/>
    </row>
    <row r="16" spans="1:6" ht="26.4">
      <c r="A16" s="17"/>
      <c r="B16" s="48" t="s">
        <v>67</v>
      </c>
      <c r="C16" s="15"/>
      <c r="D16" s="15"/>
      <c r="E16" s="16"/>
      <c r="F16" s="138"/>
    </row>
    <row r="17" spans="1:6">
      <c r="A17" s="7"/>
      <c r="B17" s="69" t="s">
        <v>101</v>
      </c>
      <c r="C17" s="51" t="s">
        <v>3</v>
      </c>
      <c r="D17" s="51">
        <v>1</v>
      </c>
      <c r="E17" s="42"/>
      <c r="F17" s="128">
        <f t="shared" ref="F17:F18" si="1">D17*E17</f>
        <v>0</v>
      </c>
    </row>
    <row r="18" spans="1:6">
      <c r="A18" s="7"/>
      <c r="B18" s="69" t="s">
        <v>102</v>
      </c>
      <c r="C18" s="51" t="s">
        <v>3</v>
      </c>
      <c r="D18" s="51">
        <v>1</v>
      </c>
      <c r="E18" s="42"/>
      <c r="F18" s="128">
        <f t="shared" si="1"/>
        <v>0</v>
      </c>
    </row>
    <row r="19" spans="1:6" ht="66">
      <c r="A19" s="12" t="s">
        <v>16</v>
      </c>
      <c r="B19" s="52" t="s">
        <v>103</v>
      </c>
      <c r="C19" s="13"/>
      <c r="D19" s="53"/>
      <c r="E19" s="14"/>
      <c r="F19" s="137"/>
    </row>
    <row r="20" spans="1:6" ht="26.4">
      <c r="A20" s="6"/>
      <c r="B20" s="54" t="s">
        <v>69</v>
      </c>
      <c r="C20" s="55"/>
      <c r="D20" s="56"/>
      <c r="E20" s="2"/>
      <c r="F20" s="130"/>
    </row>
    <row r="21" spans="1:6">
      <c r="A21" s="7"/>
      <c r="B21" s="117" t="s">
        <v>104</v>
      </c>
      <c r="C21" s="51" t="s">
        <v>70</v>
      </c>
      <c r="D21" s="65">
        <f>0.5*(0.6*0.6*2+1.95*0.6)</f>
        <v>0.94499999999999995</v>
      </c>
      <c r="E21" s="42"/>
      <c r="F21" s="128">
        <f t="shared" ref="F21" si="2">D21*E21</f>
        <v>0</v>
      </c>
    </row>
    <row r="22" spans="1:6" ht="26.4">
      <c r="A22" s="12" t="s">
        <v>17</v>
      </c>
      <c r="B22" s="93" t="s">
        <v>106</v>
      </c>
      <c r="C22" s="13"/>
      <c r="D22" s="13"/>
      <c r="E22" s="14"/>
      <c r="F22" s="137"/>
    </row>
    <row r="23" spans="1:6" ht="52.8">
      <c r="A23" s="17"/>
      <c r="B23" s="94" t="s">
        <v>105</v>
      </c>
      <c r="C23" s="15"/>
      <c r="D23" s="15"/>
      <c r="E23" s="16"/>
      <c r="F23" s="138"/>
    </row>
    <row r="24" spans="1:6" ht="26.4">
      <c r="A24" s="6"/>
      <c r="B24" s="54" t="s">
        <v>68</v>
      </c>
      <c r="C24" s="55" t="s">
        <v>13</v>
      </c>
      <c r="D24" s="62">
        <v>31.8</v>
      </c>
      <c r="E24" s="2"/>
      <c r="F24" s="130">
        <f t="shared" ref="F24" si="3">D24*E24</f>
        <v>0</v>
      </c>
    </row>
    <row r="25" spans="1:6" ht="26.4">
      <c r="A25" s="12" t="s">
        <v>18</v>
      </c>
      <c r="B25" s="96" t="s">
        <v>107</v>
      </c>
      <c r="C25" s="13"/>
      <c r="D25" s="60"/>
      <c r="E25" s="14"/>
      <c r="F25" s="137"/>
    </row>
    <row r="26" spans="1:6" ht="52.8">
      <c r="A26" s="17"/>
      <c r="B26" s="97" t="s">
        <v>108</v>
      </c>
      <c r="C26" s="15"/>
      <c r="D26" s="61"/>
      <c r="E26" s="16"/>
      <c r="F26" s="138"/>
    </row>
    <row r="27" spans="1:6" ht="26.4">
      <c r="A27" s="6"/>
      <c r="B27" s="54" t="s">
        <v>68</v>
      </c>
      <c r="C27" s="55" t="s">
        <v>13</v>
      </c>
      <c r="D27" s="62">
        <v>31.8</v>
      </c>
      <c r="E27" s="2"/>
      <c r="F27" s="130">
        <f>D27*E27</f>
        <v>0</v>
      </c>
    </row>
    <row r="28" spans="1:6" ht="26.4">
      <c r="A28" s="19" t="s">
        <v>94</v>
      </c>
      <c r="B28" s="49" t="s">
        <v>95</v>
      </c>
      <c r="C28" s="13"/>
      <c r="D28" s="13"/>
      <c r="E28" s="14"/>
      <c r="F28" s="137"/>
    </row>
    <row r="29" spans="1:6" ht="52.8">
      <c r="A29" s="86"/>
      <c r="B29" s="48" t="s">
        <v>96</v>
      </c>
      <c r="C29" s="15"/>
      <c r="D29" s="15"/>
      <c r="E29" s="16"/>
      <c r="F29" s="138"/>
    </row>
    <row r="30" spans="1:6" ht="26.4">
      <c r="A30" s="98"/>
      <c r="B30" s="57" t="s">
        <v>68</v>
      </c>
      <c r="C30" s="55" t="s">
        <v>13</v>
      </c>
      <c r="D30" s="62">
        <v>25.41</v>
      </c>
      <c r="E30" s="2"/>
      <c r="F30" s="130">
        <f t="shared" ref="F30" si="4">D30*E30</f>
        <v>0</v>
      </c>
    </row>
    <row r="31" spans="1:6" ht="9.9" customHeight="1">
      <c r="A31" s="8"/>
      <c r="B31" s="8"/>
      <c r="C31" s="8"/>
      <c r="D31" s="8"/>
      <c r="E31" s="8"/>
      <c r="F31" s="139"/>
    </row>
    <row r="32" spans="1:6" ht="20.100000000000001" customHeight="1" thickBot="1">
      <c r="A32" s="317" t="s">
        <v>11</v>
      </c>
      <c r="B32" s="318"/>
      <c r="C32" s="318"/>
      <c r="D32" s="318"/>
      <c r="E32" s="319"/>
      <c r="F32" s="140">
        <f>SUM(F12:F31)</f>
        <v>0</v>
      </c>
    </row>
    <row r="33" spans="1:6" ht="9.9" customHeight="1" thickTop="1" thickBot="1">
      <c r="A33" s="20"/>
      <c r="B33" s="20"/>
      <c r="C33" s="20"/>
      <c r="D33" s="20"/>
      <c r="E33" s="20"/>
      <c r="F33" s="141"/>
    </row>
    <row r="34" spans="1:6" ht="20.100000000000001" customHeight="1" thickTop="1" thickBot="1">
      <c r="A34" s="9" t="s">
        <v>29</v>
      </c>
      <c r="B34" s="320" t="s">
        <v>50</v>
      </c>
      <c r="C34" s="321"/>
      <c r="D34" s="321"/>
      <c r="E34" s="321"/>
      <c r="F34" s="322"/>
    </row>
    <row r="35" spans="1:6" ht="53.4" thickTop="1">
      <c r="A35" s="18" t="s">
        <v>20</v>
      </c>
      <c r="B35" s="50" t="s">
        <v>117</v>
      </c>
      <c r="C35" s="32"/>
      <c r="D35" s="32"/>
      <c r="E35" s="32"/>
      <c r="F35" s="142"/>
    </row>
    <row r="36" spans="1:6" ht="26.4">
      <c r="A36" s="37"/>
      <c r="B36" s="50" t="s">
        <v>115</v>
      </c>
      <c r="C36" s="33"/>
      <c r="D36" s="33"/>
      <c r="E36" s="33"/>
      <c r="F36" s="143"/>
    </row>
    <row r="37" spans="1:6">
      <c r="A37" s="37"/>
      <c r="B37" s="50" t="s">
        <v>116</v>
      </c>
      <c r="C37" s="33"/>
      <c r="D37" s="33"/>
      <c r="E37" s="33"/>
      <c r="F37" s="143"/>
    </row>
    <row r="38" spans="1:6" ht="12.75" customHeight="1">
      <c r="A38" s="7"/>
      <c r="B38" s="117" t="s">
        <v>118</v>
      </c>
      <c r="C38" s="51" t="s">
        <v>70</v>
      </c>
      <c r="D38" s="83">
        <f>0.2*0.2*(5.8*2+5.15*2)</f>
        <v>0.87600000000000011</v>
      </c>
      <c r="E38" s="42"/>
      <c r="F38" s="128">
        <f t="shared" ref="F38" si="5">D38*E38</f>
        <v>0</v>
      </c>
    </row>
    <row r="39" spans="1:6" ht="12.75" customHeight="1">
      <c r="A39" s="37"/>
      <c r="B39" s="33"/>
      <c r="C39" s="33"/>
      <c r="D39" s="33"/>
      <c r="E39" s="33"/>
      <c r="F39" s="143"/>
    </row>
    <row r="40" spans="1:6" ht="8.25" customHeight="1">
      <c r="A40" s="34"/>
      <c r="B40" s="35"/>
      <c r="C40" s="36"/>
      <c r="D40" s="36"/>
      <c r="E40" s="36"/>
      <c r="F40" s="144"/>
    </row>
    <row r="41" spans="1:6" ht="19.5" customHeight="1" thickBot="1">
      <c r="A41" s="317" t="s">
        <v>51</v>
      </c>
      <c r="B41" s="318"/>
      <c r="C41" s="318"/>
      <c r="D41" s="318"/>
      <c r="E41" s="319"/>
      <c r="F41" s="140">
        <f>SUM(F38:F40)</f>
        <v>0</v>
      </c>
    </row>
    <row r="42" spans="1:6" ht="9.75" customHeight="1" thickTop="1" thickBot="1">
      <c r="A42" s="20"/>
      <c r="B42" s="20"/>
      <c r="C42" s="20"/>
      <c r="D42" s="20"/>
      <c r="E42" s="20"/>
      <c r="F42" s="141"/>
    </row>
    <row r="43" spans="1:6" ht="16.5" customHeight="1" thickTop="1" thickBot="1">
      <c r="A43" s="9" t="s">
        <v>28</v>
      </c>
      <c r="B43" s="320" t="s">
        <v>110</v>
      </c>
      <c r="C43" s="321"/>
      <c r="D43" s="321"/>
      <c r="E43" s="321"/>
      <c r="F43" s="322"/>
    </row>
    <row r="44" spans="1:6" ht="40.200000000000003" thickTop="1">
      <c r="A44" s="18" t="s">
        <v>27</v>
      </c>
      <c r="B44" s="99" t="s">
        <v>111</v>
      </c>
      <c r="C44" s="33"/>
      <c r="D44" s="33"/>
      <c r="E44" s="33"/>
      <c r="F44" s="143"/>
    </row>
    <row r="45" spans="1:6" ht="39.6">
      <c r="A45" s="37"/>
      <c r="B45" s="100" t="s">
        <v>112</v>
      </c>
      <c r="C45" s="33"/>
      <c r="D45" s="33"/>
      <c r="E45" s="33"/>
      <c r="F45" s="143"/>
    </row>
    <row r="46" spans="1:6" ht="39.6">
      <c r="A46" s="37"/>
      <c r="B46" s="100" t="s">
        <v>113</v>
      </c>
      <c r="C46" s="33"/>
      <c r="D46" s="33"/>
      <c r="E46" s="33"/>
      <c r="F46" s="143"/>
    </row>
    <row r="47" spans="1:6" ht="12.75" customHeight="1">
      <c r="A47" s="101"/>
      <c r="B47" s="102" t="s">
        <v>114</v>
      </c>
      <c r="C47" s="55" t="s">
        <v>77</v>
      </c>
      <c r="D47" s="62">
        <f>0.8*100</f>
        <v>80</v>
      </c>
      <c r="E47" s="2"/>
      <c r="F47" s="130">
        <f t="shared" ref="F47" si="6">D47*E47</f>
        <v>0</v>
      </c>
    </row>
    <row r="48" spans="1:6" ht="9" customHeight="1">
      <c r="A48" s="34"/>
      <c r="B48" s="35"/>
      <c r="C48" s="36"/>
      <c r="D48" s="36"/>
      <c r="E48" s="36"/>
      <c r="F48" s="144"/>
    </row>
    <row r="49" spans="1:6" ht="20.100000000000001" customHeight="1" thickBot="1">
      <c r="A49" s="317" t="s">
        <v>109</v>
      </c>
      <c r="B49" s="318"/>
      <c r="C49" s="318"/>
      <c r="D49" s="318"/>
      <c r="E49" s="319"/>
      <c r="F49" s="140">
        <f>SUM(F47:F48)</f>
        <v>0</v>
      </c>
    </row>
    <row r="50" spans="1:6" ht="9" customHeight="1" thickTop="1" thickBot="1">
      <c r="A50" s="20"/>
      <c r="B50" s="20"/>
      <c r="C50" s="20"/>
      <c r="D50" s="20"/>
      <c r="E50" s="20"/>
      <c r="F50" s="141"/>
    </row>
    <row r="51" spans="1:6" ht="20.100000000000001" customHeight="1" thickTop="1" thickBot="1">
      <c r="A51" s="9" t="s">
        <v>30</v>
      </c>
      <c r="B51" s="320" t="s">
        <v>19</v>
      </c>
      <c r="C51" s="321"/>
      <c r="D51" s="321"/>
      <c r="E51" s="321"/>
      <c r="F51" s="322"/>
    </row>
    <row r="52" spans="1:6" ht="13.8" thickTop="1">
      <c r="A52" s="18" t="s">
        <v>43</v>
      </c>
      <c r="B52" s="21" t="s">
        <v>119</v>
      </c>
      <c r="C52" s="32"/>
      <c r="D52" s="32"/>
      <c r="E52" s="32"/>
      <c r="F52" s="138"/>
    </row>
    <row r="53" spans="1:6">
      <c r="A53" s="17"/>
      <c r="B53" s="21" t="s">
        <v>120</v>
      </c>
      <c r="C53" s="33"/>
      <c r="D53" s="33"/>
      <c r="E53" s="33"/>
      <c r="F53" s="138"/>
    </row>
    <row r="54" spans="1:6">
      <c r="A54" s="17"/>
      <c r="B54" s="21" t="s">
        <v>121</v>
      </c>
      <c r="C54" s="33"/>
      <c r="D54" s="33"/>
      <c r="E54" s="33"/>
      <c r="F54" s="138"/>
    </row>
    <row r="55" spans="1:6">
      <c r="A55" s="17"/>
      <c r="B55" s="21" t="s">
        <v>31</v>
      </c>
      <c r="C55" s="33"/>
      <c r="D55" s="33"/>
      <c r="E55" s="33"/>
      <c r="F55" s="138"/>
    </row>
    <row r="56" spans="1:6">
      <c r="A56" s="12"/>
      <c r="B56" s="49" t="s">
        <v>47</v>
      </c>
      <c r="C56" s="59"/>
      <c r="D56" s="59"/>
      <c r="E56" s="59"/>
      <c r="F56" s="137"/>
    </row>
    <row r="57" spans="1:6">
      <c r="A57" s="6"/>
      <c r="B57" s="118" t="s">
        <v>122</v>
      </c>
      <c r="C57" s="55" t="s">
        <v>13</v>
      </c>
      <c r="D57" s="119">
        <f>0.8*1.8</f>
        <v>1.4400000000000002</v>
      </c>
      <c r="E57" s="2"/>
      <c r="F57" s="130">
        <f t="shared" ref="F57" si="7">D57*E57</f>
        <v>0</v>
      </c>
    </row>
    <row r="58" spans="1:6" ht="66">
      <c r="A58" s="12" t="s">
        <v>44</v>
      </c>
      <c r="B58" s="49" t="s">
        <v>128</v>
      </c>
      <c r="C58" s="13"/>
      <c r="D58" s="60"/>
      <c r="E58" s="14"/>
      <c r="F58" s="137"/>
    </row>
    <row r="59" spans="1:6" ht="39.6">
      <c r="A59" s="17"/>
      <c r="B59" s="48" t="s">
        <v>48</v>
      </c>
      <c r="C59" s="15"/>
      <c r="D59" s="61"/>
      <c r="E59" s="16"/>
      <c r="F59" s="138"/>
    </row>
    <row r="60" spans="1:6">
      <c r="A60" s="6"/>
      <c r="B60" s="57" t="s">
        <v>49</v>
      </c>
      <c r="C60" s="55"/>
      <c r="D60" s="62"/>
      <c r="E60" s="2"/>
      <c r="F60" s="130"/>
    </row>
    <row r="61" spans="1:6">
      <c r="A61" s="7"/>
      <c r="B61" s="118" t="s">
        <v>122</v>
      </c>
      <c r="C61" s="55" t="s">
        <v>13</v>
      </c>
      <c r="D61" s="119">
        <f>0.8*1.8</f>
        <v>1.4400000000000002</v>
      </c>
      <c r="E61" s="42"/>
      <c r="F61" s="130">
        <f t="shared" ref="F61" si="8">D61*E61</f>
        <v>0</v>
      </c>
    </row>
    <row r="62" spans="1:6" ht="39.6">
      <c r="A62" s="12" t="s">
        <v>52</v>
      </c>
      <c r="B62" s="52" t="s">
        <v>71</v>
      </c>
      <c r="C62" s="13"/>
      <c r="D62" s="40"/>
      <c r="E62" s="14"/>
      <c r="F62" s="137"/>
    </row>
    <row r="63" spans="1:6">
      <c r="A63" s="17"/>
      <c r="B63" s="48" t="s">
        <v>72</v>
      </c>
      <c r="C63" s="15"/>
      <c r="D63" s="64"/>
      <c r="E63" s="16"/>
      <c r="F63" s="138"/>
    </row>
    <row r="64" spans="1:6">
      <c r="A64" s="7"/>
      <c r="B64" s="120" t="s">
        <v>129</v>
      </c>
      <c r="C64" s="51" t="s">
        <v>26</v>
      </c>
      <c r="D64" s="65">
        <f>(1.31+2.1*2)*4</f>
        <v>22.04</v>
      </c>
      <c r="E64" s="42"/>
      <c r="F64" s="128">
        <f t="shared" ref="F64" si="9">D64*E64</f>
        <v>0</v>
      </c>
    </row>
    <row r="65" spans="1:6" ht="52.8">
      <c r="A65" s="19" t="s">
        <v>90</v>
      </c>
      <c r="B65" s="52" t="s">
        <v>99</v>
      </c>
      <c r="C65" s="13"/>
      <c r="D65" s="40"/>
      <c r="E65" s="14"/>
      <c r="F65" s="137"/>
    </row>
    <row r="66" spans="1:6">
      <c r="A66" s="86"/>
      <c r="B66" s="66" t="s">
        <v>97</v>
      </c>
      <c r="C66" s="15"/>
      <c r="D66" s="64"/>
      <c r="E66" s="16"/>
      <c r="F66" s="138"/>
    </row>
    <row r="67" spans="1:6">
      <c r="A67" s="86"/>
      <c r="B67" s="121" t="s">
        <v>98</v>
      </c>
      <c r="C67" s="15"/>
      <c r="D67" s="64"/>
      <c r="E67" s="16"/>
      <c r="F67" s="138"/>
    </row>
    <row r="68" spans="1:6" ht="39.6">
      <c r="A68" s="86"/>
      <c r="B68" s="66" t="s">
        <v>91</v>
      </c>
      <c r="C68" s="15"/>
      <c r="D68" s="64"/>
      <c r="E68" s="16"/>
      <c r="F68" s="138"/>
    </row>
    <row r="69" spans="1:6">
      <c r="A69" s="88"/>
      <c r="B69" s="122" t="s">
        <v>31</v>
      </c>
      <c r="C69" s="123" t="s">
        <v>13</v>
      </c>
      <c r="D69" s="124">
        <v>25.41</v>
      </c>
      <c r="E69" s="42"/>
      <c r="F69" s="128">
        <f t="shared" ref="F69" si="10">D69*E69</f>
        <v>0</v>
      </c>
    </row>
    <row r="70" spans="1:6" ht="9.9" customHeight="1">
      <c r="A70" s="8"/>
      <c r="B70" s="8"/>
      <c r="C70" s="8"/>
      <c r="D70" s="8"/>
      <c r="E70" s="8"/>
      <c r="F70" s="139"/>
    </row>
    <row r="71" spans="1:6" ht="20.100000000000001" customHeight="1" thickBot="1">
      <c r="A71" s="317" t="s">
        <v>21</v>
      </c>
      <c r="B71" s="318"/>
      <c r="C71" s="318"/>
      <c r="D71" s="318"/>
      <c r="E71" s="319"/>
      <c r="F71" s="140">
        <f>SUM(F57:F69)</f>
        <v>0</v>
      </c>
    </row>
    <row r="72" spans="1:6" ht="9.9" customHeight="1" thickTop="1" thickBot="1">
      <c r="A72" s="20"/>
      <c r="B72" s="20"/>
      <c r="C72" s="20"/>
      <c r="D72" s="20"/>
      <c r="E72" s="20"/>
      <c r="F72" s="141"/>
    </row>
    <row r="73" spans="1:6" ht="20.100000000000001" customHeight="1" thickTop="1" thickBot="1">
      <c r="A73" s="9" t="s">
        <v>35</v>
      </c>
      <c r="B73" s="320" t="s">
        <v>73</v>
      </c>
      <c r="C73" s="321"/>
      <c r="D73" s="321"/>
      <c r="E73" s="321"/>
      <c r="F73" s="322"/>
    </row>
    <row r="74" spans="1:6" ht="79.8" thickTop="1">
      <c r="A74" s="12" t="s">
        <v>32</v>
      </c>
      <c r="B74" s="49" t="s">
        <v>124</v>
      </c>
      <c r="C74" s="13"/>
      <c r="D74" s="60"/>
      <c r="E74" s="14"/>
      <c r="F74" s="137"/>
    </row>
    <row r="75" spans="1:6" ht="79.2">
      <c r="A75" s="17"/>
      <c r="B75" s="48" t="s">
        <v>123</v>
      </c>
      <c r="C75" s="15"/>
      <c r="D75" s="61"/>
      <c r="E75" s="16"/>
      <c r="F75" s="138"/>
    </row>
    <row r="76" spans="1:6" ht="92.4">
      <c r="A76" s="17"/>
      <c r="B76" s="48" t="s">
        <v>125</v>
      </c>
      <c r="C76" s="15"/>
      <c r="D76" s="61"/>
      <c r="E76" s="16"/>
      <c r="F76" s="138"/>
    </row>
    <row r="77" spans="1:6">
      <c r="A77" s="6"/>
      <c r="B77" s="57" t="s">
        <v>34</v>
      </c>
      <c r="C77" s="55"/>
      <c r="D77" s="62"/>
      <c r="E77" s="2"/>
      <c r="F77" s="130"/>
    </row>
    <row r="78" spans="1:6" ht="26.4">
      <c r="A78" s="22"/>
      <c r="B78" s="57" t="s">
        <v>126</v>
      </c>
      <c r="C78" s="51" t="s">
        <v>3</v>
      </c>
      <c r="D78" s="125">
        <v>1</v>
      </c>
      <c r="E78" s="2"/>
      <c r="F78" s="130">
        <f t="shared" ref="F78:F82" si="11">D78*E78</f>
        <v>0</v>
      </c>
    </row>
    <row r="79" spans="1:6" ht="26.4">
      <c r="A79" s="22"/>
      <c r="B79" s="57" t="s">
        <v>127</v>
      </c>
      <c r="C79" s="51" t="s">
        <v>3</v>
      </c>
      <c r="D79" s="125">
        <v>1</v>
      </c>
      <c r="E79" s="2"/>
      <c r="F79" s="130">
        <f t="shared" ref="F79" si="12">D79*E79</f>
        <v>0</v>
      </c>
    </row>
    <row r="80" spans="1:6" ht="52.8">
      <c r="A80" s="12" t="s">
        <v>160</v>
      </c>
      <c r="B80" s="49" t="s">
        <v>85</v>
      </c>
      <c r="C80" s="13"/>
      <c r="D80" s="67"/>
      <c r="E80" s="14"/>
      <c r="F80" s="137"/>
    </row>
    <row r="81" spans="1:6">
      <c r="A81" s="17"/>
      <c r="B81" s="48" t="s">
        <v>86</v>
      </c>
      <c r="C81" s="15"/>
      <c r="D81" s="68"/>
      <c r="E81" s="16"/>
      <c r="F81" s="138"/>
    </row>
    <row r="82" spans="1:6">
      <c r="A82" s="6"/>
      <c r="B82" s="54" t="s">
        <v>155</v>
      </c>
      <c r="C82" s="55" t="s">
        <v>26</v>
      </c>
      <c r="D82" s="63">
        <f>1.2*2*3</f>
        <v>7.1999999999999993</v>
      </c>
      <c r="E82" s="2"/>
      <c r="F82" s="130">
        <f t="shared" si="11"/>
        <v>0</v>
      </c>
    </row>
    <row r="83" spans="1:6" ht="9.9" customHeight="1">
      <c r="A83" s="8"/>
      <c r="B83" s="8"/>
      <c r="C83" s="8"/>
      <c r="D83" s="8"/>
      <c r="E83" s="8"/>
      <c r="F83" s="139"/>
    </row>
    <row r="84" spans="1:6" ht="20.100000000000001" customHeight="1" thickBot="1">
      <c r="A84" s="317" t="s">
        <v>74</v>
      </c>
      <c r="B84" s="318"/>
      <c r="C84" s="318"/>
      <c r="D84" s="318"/>
      <c r="E84" s="319"/>
      <c r="F84" s="140">
        <f>SUM(F74:F82)</f>
        <v>0</v>
      </c>
    </row>
    <row r="85" spans="1:6" ht="9.9" customHeight="1" thickTop="1" thickBot="1">
      <c r="A85" s="20"/>
      <c r="B85" s="20"/>
      <c r="C85" s="20"/>
      <c r="D85" s="20"/>
      <c r="E85" s="20"/>
      <c r="F85" s="141"/>
    </row>
    <row r="86" spans="1:6" ht="19.5" customHeight="1" thickTop="1" thickBot="1">
      <c r="A86" s="9" t="s">
        <v>36</v>
      </c>
      <c r="B86" s="320" t="s">
        <v>75</v>
      </c>
      <c r="C86" s="327"/>
      <c r="D86" s="327"/>
      <c r="E86" s="327"/>
      <c r="F86" s="328"/>
    </row>
    <row r="87" spans="1:6" ht="40.200000000000003" thickTop="1">
      <c r="A87" s="17" t="s">
        <v>33</v>
      </c>
      <c r="B87" s="127" t="s">
        <v>169</v>
      </c>
      <c r="C87" s="32"/>
      <c r="D87" s="32"/>
      <c r="E87" s="32"/>
      <c r="F87" s="142"/>
    </row>
    <row r="88" spans="1:6" ht="52.8">
      <c r="A88" s="31"/>
      <c r="B88" s="48" t="s">
        <v>87</v>
      </c>
      <c r="C88" s="33"/>
      <c r="D88" s="33"/>
      <c r="E88" s="33"/>
      <c r="F88" s="143"/>
    </row>
    <row r="89" spans="1:6" ht="92.4">
      <c r="A89" s="31"/>
      <c r="B89" s="48" t="s">
        <v>88</v>
      </c>
      <c r="C89" s="33"/>
      <c r="D89" s="33"/>
      <c r="E89" s="33"/>
      <c r="F89" s="143"/>
    </row>
    <row r="90" spans="1:6" ht="66">
      <c r="A90" s="31"/>
      <c r="B90" s="48" t="s">
        <v>167</v>
      </c>
      <c r="C90" s="33"/>
      <c r="D90" s="33"/>
      <c r="E90" s="33"/>
      <c r="F90" s="143"/>
    </row>
    <row r="91" spans="1:6" ht="171.6">
      <c r="A91" s="31"/>
      <c r="B91" s="48" t="s">
        <v>168</v>
      </c>
      <c r="C91" s="33"/>
      <c r="D91" s="33"/>
      <c r="E91" s="33"/>
      <c r="F91" s="143"/>
    </row>
    <row r="92" spans="1:6" ht="26.4">
      <c r="A92" s="31"/>
      <c r="B92" s="48" t="s">
        <v>89</v>
      </c>
      <c r="C92" s="33"/>
      <c r="D92" s="33"/>
      <c r="E92" s="33"/>
      <c r="F92" s="143"/>
    </row>
    <row r="93" spans="1:6" ht="12.75" customHeight="1">
      <c r="A93" s="43"/>
      <c r="B93" s="70" t="s">
        <v>93</v>
      </c>
      <c r="C93" s="44" t="s">
        <v>77</v>
      </c>
      <c r="D93" s="45">
        <f>635.5/2</f>
        <v>317.75</v>
      </c>
      <c r="E93" s="46"/>
      <c r="F93" s="128">
        <f t="shared" ref="F93" si="13">D93*E93</f>
        <v>0</v>
      </c>
    </row>
    <row r="94" spans="1:6" ht="9.9" customHeight="1">
      <c r="A94" s="23"/>
      <c r="B94" s="23"/>
      <c r="C94" s="23"/>
      <c r="D94" s="23"/>
      <c r="E94" s="23"/>
      <c r="F94" s="145"/>
    </row>
    <row r="95" spans="1:6" ht="19.5" customHeight="1" thickBot="1">
      <c r="A95" s="317" t="s">
        <v>76</v>
      </c>
      <c r="B95" s="318"/>
      <c r="C95" s="318"/>
      <c r="D95" s="318"/>
      <c r="E95" s="319"/>
      <c r="F95" s="140">
        <f>SUM(F92:F93)</f>
        <v>0</v>
      </c>
    </row>
    <row r="96" spans="1:6" ht="9.9" customHeight="1" thickTop="1" thickBot="1">
      <c r="A96" s="20"/>
      <c r="B96" s="20"/>
      <c r="C96" s="20"/>
      <c r="D96" s="20"/>
      <c r="E96" s="20"/>
      <c r="F96" s="141"/>
    </row>
    <row r="97" spans="1:6" ht="19.5" customHeight="1" thickTop="1" thickBot="1">
      <c r="A97" s="9" t="s">
        <v>62</v>
      </c>
      <c r="B97" s="320" t="s">
        <v>132</v>
      </c>
      <c r="C97" s="327"/>
      <c r="D97" s="327"/>
      <c r="E97" s="327"/>
      <c r="F97" s="328"/>
    </row>
    <row r="98" spans="1:6" ht="66.599999999999994" thickTop="1">
      <c r="A98" s="17" t="s">
        <v>63</v>
      </c>
      <c r="B98" s="105" t="s">
        <v>136</v>
      </c>
      <c r="C98" s="106"/>
      <c r="D98" s="93"/>
      <c r="E98" s="93"/>
      <c r="F98" s="146"/>
    </row>
    <row r="99" spans="1:6" ht="171.6">
      <c r="A99" s="31"/>
      <c r="B99" s="105" t="s">
        <v>137</v>
      </c>
      <c r="C99" s="106"/>
      <c r="D99" s="93"/>
      <c r="E99" s="93"/>
      <c r="F99" s="146"/>
    </row>
    <row r="100" spans="1:6" ht="26.4">
      <c r="A100" s="31"/>
      <c r="B100" s="107" t="s">
        <v>138</v>
      </c>
      <c r="C100" s="106"/>
      <c r="D100" s="93"/>
      <c r="E100" s="93"/>
      <c r="F100" s="146"/>
    </row>
    <row r="101" spans="1:6" ht="26.4">
      <c r="A101" s="31"/>
      <c r="B101" s="105" t="s">
        <v>134</v>
      </c>
      <c r="C101" s="106"/>
      <c r="D101" s="93"/>
      <c r="E101" s="93"/>
      <c r="F101" s="146"/>
    </row>
    <row r="102" spans="1:6" ht="118.8">
      <c r="A102" s="31"/>
      <c r="B102" s="105" t="s">
        <v>139</v>
      </c>
      <c r="C102" s="106"/>
      <c r="D102" s="93"/>
      <c r="E102" s="93"/>
      <c r="F102" s="146"/>
    </row>
    <row r="103" spans="1:6" ht="105.6">
      <c r="A103" s="31"/>
      <c r="B103" s="105" t="s">
        <v>140</v>
      </c>
      <c r="C103" s="106"/>
      <c r="D103" s="93"/>
      <c r="E103" s="93"/>
      <c r="F103" s="147"/>
    </row>
    <row r="104" spans="1:6" ht="52.8">
      <c r="A104" s="31"/>
      <c r="B104" s="108" t="s">
        <v>141</v>
      </c>
      <c r="C104" s="109"/>
      <c r="D104" s="110"/>
      <c r="E104" s="108"/>
      <c r="F104" s="148"/>
    </row>
    <row r="105" spans="1:6" ht="12.75" customHeight="1">
      <c r="A105" s="7"/>
      <c r="B105" s="120" t="s">
        <v>142</v>
      </c>
      <c r="C105" s="51" t="s">
        <v>135</v>
      </c>
      <c r="D105" s="65">
        <v>31.8</v>
      </c>
      <c r="E105" s="42"/>
      <c r="F105" s="128">
        <f t="shared" ref="F105" si="14">D105*E105</f>
        <v>0</v>
      </c>
    </row>
    <row r="106" spans="1:6" ht="12.75" customHeight="1">
      <c r="A106" s="112"/>
      <c r="B106" s="59" t="s">
        <v>143</v>
      </c>
      <c r="C106" s="113"/>
      <c r="D106" s="113"/>
      <c r="E106" s="113"/>
      <c r="F106" s="129"/>
    </row>
    <row r="107" spans="1:6" ht="12.75" customHeight="1">
      <c r="A107" s="6"/>
      <c r="B107" s="54" t="s">
        <v>151</v>
      </c>
      <c r="C107" s="55" t="s">
        <v>135</v>
      </c>
      <c r="D107" s="63">
        <f>0.4*(5.9+5.27)*2</f>
        <v>8.9359999999999999</v>
      </c>
      <c r="E107" s="2"/>
      <c r="F107" s="130">
        <f t="shared" ref="F107" si="15">D107*E107</f>
        <v>0</v>
      </c>
    </row>
    <row r="108" spans="1:6" ht="92.4">
      <c r="A108" s="17" t="s">
        <v>64</v>
      </c>
      <c r="B108" s="108" t="s">
        <v>146</v>
      </c>
      <c r="C108" s="103"/>
      <c r="D108" s="103"/>
      <c r="E108" s="103"/>
      <c r="F108" s="149"/>
    </row>
    <row r="109" spans="1:6" ht="66">
      <c r="A109" s="31"/>
      <c r="B109" s="95" t="s">
        <v>144</v>
      </c>
      <c r="C109" s="103"/>
      <c r="D109" s="103"/>
      <c r="E109" s="103"/>
      <c r="F109" s="149"/>
    </row>
    <row r="110" spans="1:6" ht="66">
      <c r="A110" s="31"/>
      <c r="B110" s="111" t="s">
        <v>147</v>
      </c>
      <c r="C110" s="103"/>
      <c r="D110" s="103"/>
      <c r="E110" s="103"/>
      <c r="F110" s="149"/>
    </row>
    <row r="111" spans="1:6" ht="12.75" customHeight="1">
      <c r="A111" s="6"/>
      <c r="B111" s="102" t="s">
        <v>145</v>
      </c>
      <c r="C111" s="55" t="s">
        <v>26</v>
      </c>
      <c r="D111" s="63">
        <v>5.27</v>
      </c>
      <c r="E111" s="2"/>
      <c r="F111" s="130">
        <f t="shared" ref="F111" si="16">D111*E111</f>
        <v>0</v>
      </c>
    </row>
    <row r="112" spans="1:6" ht="52.8">
      <c r="A112" s="17" t="s">
        <v>156</v>
      </c>
      <c r="B112" s="50" t="s">
        <v>152</v>
      </c>
      <c r="C112" s="15"/>
      <c r="D112" s="64"/>
      <c r="E112" s="16"/>
      <c r="F112" s="138"/>
    </row>
    <row r="113" spans="1:6" ht="66">
      <c r="A113" s="17"/>
      <c r="B113" s="108" t="s">
        <v>153</v>
      </c>
      <c r="C113" s="15"/>
      <c r="D113" s="64"/>
      <c r="E113" s="16"/>
      <c r="F113" s="138"/>
    </row>
    <row r="114" spans="1:6" ht="12.75" customHeight="1">
      <c r="A114" s="6"/>
      <c r="B114" s="102" t="s">
        <v>145</v>
      </c>
      <c r="C114" s="55" t="s">
        <v>26</v>
      </c>
      <c r="D114" s="63">
        <v>5.27</v>
      </c>
      <c r="E114" s="2"/>
      <c r="F114" s="130">
        <f t="shared" ref="F114" si="17">D114*E114</f>
        <v>0</v>
      </c>
    </row>
    <row r="115" spans="1:6" ht="79.2">
      <c r="A115" s="17" t="s">
        <v>161</v>
      </c>
      <c r="B115" s="108" t="s">
        <v>148</v>
      </c>
      <c r="C115" s="103"/>
      <c r="D115" s="103"/>
      <c r="E115" s="103"/>
      <c r="F115" s="149"/>
    </row>
    <row r="116" spans="1:6" ht="79.2">
      <c r="A116" s="31"/>
      <c r="B116" s="108" t="s">
        <v>149</v>
      </c>
      <c r="C116" s="103"/>
      <c r="D116" s="103"/>
      <c r="E116" s="103"/>
      <c r="F116" s="149"/>
    </row>
    <row r="117" spans="1:6" ht="52.8">
      <c r="A117" s="31"/>
      <c r="B117" s="108" t="s">
        <v>150</v>
      </c>
      <c r="C117" s="103"/>
      <c r="D117" s="103"/>
      <c r="E117" s="103"/>
      <c r="F117" s="149"/>
    </row>
    <row r="118" spans="1:6" ht="12.75" customHeight="1">
      <c r="A118" s="6"/>
      <c r="B118" s="102" t="s">
        <v>145</v>
      </c>
      <c r="C118" s="55" t="s">
        <v>26</v>
      </c>
      <c r="D118" s="63">
        <v>2.76</v>
      </c>
      <c r="E118" s="2"/>
      <c r="F118" s="130">
        <f t="shared" ref="F118" si="18">D118*E118</f>
        <v>0</v>
      </c>
    </row>
    <row r="119" spans="1:6" ht="10.5" customHeight="1">
      <c r="A119" s="26"/>
      <c r="B119" s="104"/>
      <c r="C119" s="104"/>
      <c r="D119" s="104"/>
      <c r="E119" s="104"/>
      <c r="F119" s="150"/>
    </row>
    <row r="120" spans="1:6" ht="18.75" customHeight="1" thickBot="1">
      <c r="A120" s="317" t="s">
        <v>133</v>
      </c>
      <c r="B120" s="318"/>
      <c r="C120" s="318"/>
      <c r="D120" s="318"/>
      <c r="E120" s="319"/>
      <c r="F120" s="140">
        <f>SUM(F98:F118)</f>
        <v>0</v>
      </c>
    </row>
    <row r="121" spans="1:6" ht="10.5" customHeight="1" thickTop="1" thickBot="1">
      <c r="A121" s="20"/>
      <c r="B121" s="20"/>
      <c r="C121" s="20"/>
      <c r="D121" s="20"/>
      <c r="E121" s="20"/>
      <c r="F121" s="141"/>
    </row>
    <row r="122" spans="1:6" ht="18" customHeight="1" thickTop="1" thickBot="1">
      <c r="A122" s="9" t="s">
        <v>55</v>
      </c>
      <c r="B122" s="320" t="s">
        <v>57</v>
      </c>
      <c r="C122" s="327"/>
      <c r="D122" s="327"/>
      <c r="E122" s="327"/>
      <c r="F122" s="328"/>
    </row>
    <row r="123" spans="1:6" ht="53.4" thickTop="1">
      <c r="A123" s="18" t="s">
        <v>56</v>
      </c>
      <c r="B123" s="71" t="s">
        <v>84</v>
      </c>
      <c r="C123" s="47"/>
      <c r="D123" s="47"/>
      <c r="E123" s="47"/>
      <c r="F123" s="151"/>
    </row>
    <row r="124" spans="1:6" ht="12.75" customHeight="1">
      <c r="A124" s="26"/>
      <c r="B124" s="104" t="s">
        <v>58</v>
      </c>
      <c r="C124" s="104"/>
      <c r="D124" s="104"/>
      <c r="E124" s="104"/>
      <c r="F124" s="150"/>
    </row>
    <row r="125" spans="1:6" ht="12.75" customHeight="1">
      <c r="A125" s="28"/>
      <c r="B125" s="72" t="s">
        <v>59</v>
      </c>
      <c r="C125" s="72"/>
      <c r="D125" s="72"/>
      <c r="E125" s="72"/>
      <c r="F125" s="152"/>
    </row>
    <row r="126" spans="1:6" ht="12.75" customHeight="1">
      <c r="A126" s="26"/>
      <c r="B126" s="73" t="s">
        <v>166</v>
      </c>
      <c r="C126" s="55" t="s">
        <v>13</v>
      </c>
      <c r="D126" s="74">
        <f>(2.7+3.4)/2*20.2+12.6*17.4</f>
        <v>280.84999999999997</v>
      </c>
      <c r="E126" s="75"/>
      <c r="F126" s="130">
        <f t="shared" ref="F126" si="19">D126*E126</f>
        <v>0</v>
      </c>
    </row>
    <row r="127" spans="1:6" ht="12.75" customHeight="1">
      <c r="A127" s="28"/>
      <c r="B127" s="72" t="s">
        <v>60</v>
      </c>
      <c r="C127" s="13"/>
      <c r="D127" s="13"/>
      <c r="E127" s="41"/>
      <c r="F127" s="137"/>
    </row>
    <row r="128" spans="1:6" ht="12.75" customHeight="1">
      <c r="A128" s="24"/>
      <c r="B128" s="76" t="s">
        <v>130</v>
      </c>
      <c r="C128" s="15" t="s">
        <v>13</v>
      </c>
      <c r="D128" s="77">
        <f>25.41+8.9</f>
        <v>34.31</v>
      </c>
      <c r="E128" s="75"/>
      <c r="F128" s="138">
        <f t="shared" ref="F128" si="20">D128*E128</f>
        <v>0</v>
      </c>
    </row>
    <row r="129" spans="1:6" ht="39.6">
      <c r="A129" s="12" t="s">
        <v>157</v>
      </c>
      <c r="B129" s="79" t="s">
        <v>78</v>
      </c>
      <c r="C129" s="13"/>
      <c r="D129" s="13"/>
      <c r="E129" s="41"/>
      <c r="F129" s="137"/>
    </row>
    <row r="130" spans="1:6" ht="26.4">
      <c r="A130" s="24"/>
      <c r="B130" s="80" t="s">
        <v>79</v>
      </c>
      <c r="C130" s="15"/>
      <c r="D130" s="15"/>
      <c r="E130" s="78"/>
      <c r="F130" s="138"/>
    </row>
    <row r="131" spans="1:6" ht="12.75" customHeight="1">
      <c r="A131" s="24"/>
      <c r="B131" s="25" t="s">
        <v>80</v>
      </c>
      <c r="C131" s="15"/>
      <c r="D131" s="15"/>
      <c r="E131" s="78"/>
      <c r="F131" s="138"/>
    </row>
    <row r="132" spans="1:6" ht="12.75" customHeight="1">
      <c r="A132" s="27"/>
      <c r="B132" s="120" t="s">
        <v>129</v>
      </c>
      <c r="C132" s="51" t="s">
        <v>26</v>
      </c>
      <c r="D132" s="65">
        <f>(1.31+2.1*2)*4</f>
        <v>22.04</v>
      </c>
      <c r="E132" s="81"/>
      <c r="F132" s="128">
        <f t="shared" ref="F132" si="21">D132*E132</f>
        <v>0</v>
      </c>
    </row>
    <row r="133" spans="1:6" ht="66">
      <c r="A133" s="17" t="s">
        <v>162</v>
      </c>
      <c r="B133" s="80" t="s">
        <v>81</v>
      </c>
      <c r="C133" s="25"/>
      <c r="D133" s="25"/>
      <c r="E133" s="78"/>
      <c r="F133" s="153"/>
    </row>
    <row r="134" spans="1:6">
      <c r="A134" s="38"/>
      <c r="B134" s="25" t="s">
        <v>58</v>
      </c>
      <c r="C134" s="25"/>
      <c r="D134" s="25"/>
      <c r="E134" s="78"/>
      <c r="F134" s="153"/>
    </row>
    <row r="135" spans="1:6">
      <c r="A135" s="27"/>
      <c r="B135" s="82" t="s">
        <v>131</v>
      </c>
      <c r="C135" s="51" t="s">
        <v>13</v>
      </c>
      <c r="D135" s="83">
        <f>2.4*2.2*2.4*4.4*2</f>
        <v>111.51360000000001</v>
      </c>
      <c r="E135" s="84"/>
      <c r="F135" s="128">
        <f t="shared" ref="F135" si="22">D135*E135</f>
        <v>0</v>
      </c>
    </row>
    <row r="136" spans="1:6" ht="9" customHeight="1">
      <c r="A136" s="23"/>
      <c r="B136" s="23"/>
      <c r="C136" s="23"/>
      <c r="D136" s="23"/>
      <c r="E136" s="23"/>
      <c r="F136" s="145"/>
    </row>
    <row r="137" spans="1:6" ht="19.5" customHeight="1" thickBot="1">
      <c r="A137" s="317" t="s">
        <v>37</v>
      </c>
      <c r="B137" s="318"/>
      <c r="C137" s="318"/>
      <c r="D137" s="318"/>
      <c r="E137" s="319"/>
      <c r="F137" s="140">
        <f>SUM(F124:F136)</f>
        <v>0</v>
      </c>
    </row>
    <row r="138" spans="1:6" ht="9.9" customHeight="1" thickTop="1" thickBot="1">
      <c r="A138" s="20"/>
      <c r="B138" s="20"/>
      <c r="C138" s="20"/>
      <c r="D138" s="20"/>
      <c r="E138" s="20"/>
      <c r="F138" s="141"/>
    </row>
    <row r="139" spans="1:6" ht="20.100000000000001" customHeight="1" thickTop="1" thickBot="1">
      <c r="A139" s="9" t="s">
        <v>158</v>
      </c>
      <c r="B139" s="320" t="s">
        <v>42</v>
      </c>
      <c r="C139" s="327"/>
      <c r="D139" s="327"/>
      <c r="E139" s="327"/>
      <c r="F139" s="328"/>
    </row>
    <row r="140" spans="1:6" ht="93" thickTop="1">
      <c r="A140" s="19" t="s">
        <v>159</v>
      </c>
      <c r="B140" s="49" t="s">
        <v>54</v>
      </c>
      <c r="C140" s="13"/>
      <c r="D140" s="40"/>
      <c r="E140" s="14"/>
      <c r="F140" s="137"/>
    </row>
    <row r="141" spans="1:6" ht="38.25" customHeight="1">
      <c r="A141" s="6"/>
      <c r="B141" s="57" t="s">
        <v>53</v>
      </c>
      <c r="C141" s="55"/>
      <c r="D141" s="63"/>
      <c r="E141" s="2"/>
      <c r="F141" s="130"/>
    </row>
    <row r="142" spans="1:6">
      <c r="A142" s="17"/>
      <c r="B142" s="66" t="s">
        <v>122</v>
      </c>
      <c r="C142" s="13" t="s">
        <v>13</v>
      </c>
      <c r="D142" s="64">
        <f>0.8*1.8</f>
        <v>1.4400000000000002</v>
      </c>
      <c r="E142" s="16"/>
      <c r="F142" s="138">
        <f t="shared" ref="F142" si="23">D142*E142</f>
        <v>0</v>
      </c>
    </row>
    <row r="143" spans="1:6" ht="51" customHeight="1">
      <c r="A143" s="19" t="s">
        <v>163</v>
      </c>
      <c r="B143" s="52" t="s">
        <v>82</v>
      </c>
      <c r="C143" s="13"/>
      <c r="D143" s="85"/>
      <c r="E143" s="14"/>
      <c r="F143" s="137"/>
    </row>
    <row r="144" spans="1:6">
      <c r="A144" s="86"/>
      <c r="B144" s="66" t="s">
        <v>61</v>
      </c>
      <c r="C144" s="15"/>
      <c r="D144" s="87"/>
      <c r="E144" s="16"/>
      <c r="F144" s="138"/>
    </row>
    <row r="145" spans="1:7">
      <c r="A145" s="88"/>
      <c r="B145" s="114" t="s">
        <v>154</v>
      </c>
      <c r="C145" s="51" t="s">
        <v>13</v>
      </c>
      <c r="D145" s="65">
        <f>(2.7+3.4)/2*(5.15*2+5.75*2)</f>
        <v>66.489999999999995</v>
      </c>
      <c r="E145" s="42"/>
      <c r="F145" s="128">
        <f t="shared" ref="F145" si="24">D145*E145</f>
        <v>0</v>
      </c>
    </row>
    <row r="146" spans="1:7" ht="9.9" customHeight="1">
      <c r="A146" s="8"/>
      <c r="B146" s="8"/>
      <c r="C146" s="8"/>
      <c r="D146" s="8"/>
      <c r="E146" s="8"/>
      <c r="F146" s="139"/>
    </row>
    <row r="147" spans="1:7" ht="20.100000000000001" customHeight="1" thickBot="1">
      <c r="A147" s="317" t="s">
        <v>65</v>
      </c>
      <c r="B147" s="318"/>
      <c r="C147" s="318"/>
      <c r="D147" s="318"/>
      <c r="E147" s="319"/>
      <c r="F147" s="140">
        <f>SUM(F140:F145)</f>
        <v>0</v>
      </c>
    </row>
    <row r="148" spans="1:7" ht="9.9" customHeight="1" thickTop="1" thickBot="1">
      <c r="A148" s="20"/>
      <c r="B148" s="20"/>
      <c r="C148" s="20"/>
      <c r="D148" s="20"/>
      <c r="E148" s="20"/>
      <c r="F148" s="141"/>
    </row>
    <row r="149" spans="1:7" ht="20.100000000000001" customHeight="1" thickTop="1" thickBot="1">
      <c r="A149" s="9" t="s">
        <v>164</v>
      </c>
      <c r="B149" s="320" t="s">
        <v>22</v>
      </c>
      <c r="C149" s="321"/>
      <c r="D149" s="321"/>
      <c r="E149" s="321"/>
      <c r="F149" s="322"/>
    </row>
    <row r="150" spans="1:7" ht="27" thickTop="1">
      <c r="A150" s="18" t="s">
        <v>165</v>
      </c>
      <c r="B150" s="58" t="s">
        <v>83</v>
      </c>
      <c r="C150" s="89"/>
      <c r="D150" s="90"/>
      <c r="E150" s="91"/>
      <c r="F150" s="154"/>
    </row>
    <row r="151" spans="1:7">
      <c r="A151" s="12"/>
      <c r="B151" s="69" t="s">
        <v>31</v>
      </c>
      <c r="C151" s="13" t="s">
        <v>13</v>
      </c>
      <c r="D151" s="92">
        <f>29+3.4*2</f>
        <v>35.799999999999997</v>
      </c>
      <c r="E151" s="42"/>
      <c r="F151" s="128">
        <f t="shared" ref="F151" si="25">D151*E151</f>
        <v>0</v>
      </c>
    </row>
    <row r="152" spans="1:7" ht="9.9" customHeight="1">
      <c r="A152" s="8"/>
      <c r="B152" s="8"/>
      <c r="C152" s="8"/>
      <c r="D152" s="8"/>
      <c r="E152" s="8"/>
      <c r="F152" s="139"/>
    </row>
    <row r="153" spans="1:7" ht="20.100000000000001" customHeight="1" thickBot="1">
      <c r="A153" s="317" t="s">
        <v>38</v>
      </c>
      <c r="B153" s="318"/>
      <c r="C153" s="318"/>
      <c r="D153" s="318"/>
      <c r="E153" s="319"/>
      <c r="F153" s="140">
        <f>SUM(F150:F152)</f>
        <v>0</v>
      </c>
    </row>
    <row r="154" spans="1:7" ht="9.9" customHeight="1" thickTop="1">
      <c r="A154" s="39"/>
      <c r="B154" s="39"/>
      <c r="C154" s="39"/>
      <c r="D154" s="39"/>
      <c r="E154" s="39"/>
      <c r="F154" s="155"/>
    </row>
    <row r="156" spans="1:7" ht="39.75" customHeight="1">
      <c r="A156" s="326" t="s">
        <v>326</v>
      </c>
      <c r="B156" s="326"/>
      <c r="C156" s="326"/>
      <c r="D156" s="326"/>
      <c r="E156" s="326"/>
      <c r="F156" s="326"/>
    </row>
    <row r="157" spans="1:7" ht="13.8" thickBot="1"/>
    <row r="158" spans="1:7" ht="16.8" thickTop="1" thickBot="1">
      <c r="A158" s="338" t="s">
        <v>40</v>
      </c>
      <c r="B158" s="339"/>
      <c r="C158" s="339"/>
      <c r="D158" s="339"/>
      <c r="E158" s="339"/>
      <c r="F158" s="340"/>
    </row>
    <row r="159" spans="1:7" ht="14.4" thickTop="1" thickBot="1"/>
    <row r="160" spans="1:7" s="162" customFormat="1" ht="20.25" customHeight="1" thickTop="1" thickBot="1">
      <c r="A160" s="159" t="s">
        <v>23</v>
      </c>
      <c r="B160" s="160" t="s">
        <v>24</v>
      </c>
      <c r="C160" s="161"/>
      <c r="D160" s="161"/>
      <c r="E160" s="161"/>
      <c r="F160" s="156"/>
      <c r="G160" s="131"/>
    </row>
    <row r="161" spans="1:7" s="162" customFormat="1" ht="20.100000000000001" customHeight="1" thickTop="1" thickBot="1">
      <c r="A161" s="159" t="str">
        <f>A9</f>
        <v>01.01.00.</v>
      </c>
      <c r="B161" s="323" t="str">
        <f>B9</f>
        <v>ДЕМОНТАЖНИ РАДОВИ</v>
      </c>
      <c r="C161" s="324"/>
      <c r="D161" s="324"/>
      <c r="E161" s="325"/>
      <c r="F161" s="157">
        <f>F32</f>
        <v>0</v>
      </c>
      <c r="G161" s="131"/>
    </row>
    <row r="162" spans="1:7" s="162" customFormat="1" ht="20.100000000000001" customHeight="1" thickTop="1" thickBot="1">
      <c r="A162" s="159" t="str">
        <f>A34</f>
        <v>01.02.00.</v>
      </c>
      <c r="B162" s="323" t="str">
        <f>B34</f>
        <v>БЕТОНСКИ РАДОВИ</v>
      </c>
      <c r="C162" s="324"/>
      <c r="D162" s="324"/>
      <c r="E162" s="325"/>
      <c r="F162" s="157">
        <f>F41</f>
        <v>0</v>
      </c>
      <c r="G162" s="131"/>
    </row>
    <row r="163" spans="1:7" s="162" customFormat="1" ht="20.100000000000001" customHeight="1" thickTop="1" thickBot="1">
      <c r="A163" s="159" t="str">
        <f>A43</f>
        <v>01.03.00.</v>
      </c>
      <c r="B163" s="163" t="str">
        <f>B43</f>
        <v>АРМИРАЧКИ РАДОВИ</v>
      </c>
      <c r="C163" s="164"/>
      <c r="D163" s="164"/>
      <c r="E163" s="165"/>
      <c r="F163" s="157">
        <f>F49</f>
        <v>0</v>
      </c>
      <c r="G163" s="131"/>
    </row>
    <row r="164" spans="1:7" s="162" customFormat="1" ht="20.100000000000001" customHeight="1" thickTop="1" thickBot="1">
      <c r="A164" s="159" t="str">
        <f>A51</f>
        <v>01.04.00.</v>
      </c>
      <c r="B164" s="163" t="str">
        <f>B51</f>
        <v>ЗИДАРСКИ РАДОВИ</v>
      </c>
      <c r="C164" s="164"/>
      <c r="D164" s="164"/>
      <c r="E164" s="165"/>
      <c r="F164" s="157">
        <f>F71</f>
        <v>0</v>
      </c>
      <c r="G164" s="131"/>
    </row>
    <row r="165" spans="1:7" s="162" customFormat="1" ht="20.100000000000001" customHeight="1" thickTop="1" thickBot="1">
      <c r="A165" s="159" t="str">
        <f>A73</f>
        <v>01.05.00.</v>
      </c>
      <c r="B165" s="323" t="str">
        <f>B73</f>
        <v>БРАВАРСКИ РАДОВИ</v>
      </c>
      <c r="C165" s="324"/>
      <c r="D165" s="324"/>
      <c r="E165" s="325"/>
      <c r="F165" s="157">
        <f>F84</f>
        <v>0</v>
      </c>
      <c r="G165" s="131"/>
    </row>
    <row r="166" spans="1:7" s="162" customFormat="1" ht="20.100000000000001" customHeight="1" thickTop="1" thickBot="1">
      <c r="A166" s="159" t="str">
        <f>A86</f>
        <v>01.06.00.</v>
      </c>
      <c r="B166" s="163" t="str">
        <f>B86</f>
        <v>ЧЕЛИЧНА КОНСТРУКЦИЈА</v>
      </c>
      <c r="C166" s="164"/>
      <c r="D166" s="164"/>
      <c r="E166" s="165"/>
      <c r="F166" s="157">
        <f>F95</f>
        <v>0</v>
      </c>
      <c r="G166" s="131"/>
    </row>
    <row r="167" spans="1:7" s="162" customFormat="1" ht="20.100000000000001" customHeight="1" thickTop="1" thickBot="1">
      <c r="A167" s="159" t="str">
        <f>A97</f>
        <v>01.07.00.</v>
      </c>
      <c r="B167" s="163" t="str">
        <f>B97</f>
        <v>ЛИМАРСКИ РАДОВИ</v>
      </c>
      <c r="C167" s="164"/>
      <c r="D167" s="164"/>
      <c r="E167" s="165"/>
      <c r="F167" s="157">
        <f>F120</f>
        <v>0</v>
      </c>
      <c r="G167" s="131"/>
    </row>
    <row r="168" spans="1:7" s="162" customFormat="1" ht="20.100000000000001" customHeight="1" thickTop="1" thickBot="1">
      <c r="A168" s="159" t="str">
        <f>A122</f>
        <v>01.08.00.</v>
      </c>
      <c r="B168" s="163" t="str">
        <f>B122</f>
        <v>МОЛЕРСКО ФАРБАРСКИ РАДОВИ</v>
      </c>
      <c r="C168" s="164"/>
      <c r="D168" s="164"/>
      <c r="E168" s="165"/>
      <c r="F168" s="157">
        <f>F137</f>
        <v>0</v>
      </c>
      <c r="G168" s="131"/>
    </row>
    <row r="169" spans="1:7" s="162" customFormat="1" ht="20.100000000000001" customHeight="1" thickTop="1" thickBot="1">
      <c r="A169" s="159" t="str">
        <f>A139</f>
        <v>01.09.00.</v>
      </c>
      <c r="B169" s="323" t="str">
        <f>B139</f>
        <v>ФАСАДЕРСКИ РАДОВИ</v>
      </c>
      <c r="C169" s="324"/>
      <c r="D169" s="324"/>
      <c r="E169" s="325"/>
      <c r="F169" s="157">
        <f>F147</f>
        <v>0</v>
      </c>
      <c r="G169" s="131"/>
    </row>
    <row r="170" spans="1:7" s="162" customFormat="1" ht="20.100000000000001" customHeight="1" thickTop="1" thickBot="1">
      <c r="A170" s="159" t="str">
        <f>A149</f>
        <v>01.10.00.</v>
      </c>
      <c r="B170" s="323" t="str">
        <f>B149</f>
        <v>РАЗНИ РАДОВИ</v>
      </c>
      <c r="C170" s="324"/>
      <c r="D170" s="324"/>
      <c r="E170" s="325"/>
      <c r="F170" s="158">
        <f>F153</f>
        <v>0</v>
      </c>
      <c r="G170" s="131"/>
    </row>
    <row r="171" spans="1:7" s="162" customFormat="1" ht="20.100000000000001" customHeight="1" thickTop="1" thickBot="1">
      <c r="A171" s="166"/>
      <c r="B171" s="164"/>
      <c r="C171" s="164"/>
      <c r="D171" s="336" t="s">
        <v>41</v>
      </c>
      <c r="E171" s="337"/>
      <c r="F171" s="167">
        <f>SUM(F161:F170)</f>
        <v>0</v>
      </c>
      <c r="G171" s="131"/>
    </row>
    <row r="172" spans="1:7" ht="13.8" thickTop="1"/>
  </sheetData>
  <sheetProtection algorithmName="SHA-512" hashValue="W2KEqpT1mF+efEieQXiMUu2d7vdBWct55ED4dQR9EWaLie/yZwqqYSXTYT/WmWUk8ebqHYjJhpw9aRbMs+89tw==" saltValue="ipOMpnOKiqCnrn2Ih1oaqw==" spinCount="100000" sheet="1" formatCells="0" formatColumns="0" formatRows="0" insertColumns="0" insertRows="0" insertHyperlinks="0" deleteColumns="0" deleteRows="0" sort="0" autoFilter="0" pivotTables="0"/>
  <protectedRanges>
    <protectedRange sqref="E1:E1048576" name="Range1"/>
  </protectedRanges>
  <mergeCells count="34">
    <mergeCell ref="D171:E171"/>
    <mergeCell ref="A41:E41"/>
    <mergeCell ref="B43:F43"/>
    <mergeCell ref="A120:E120"/>
    <mergeCell ref="B122:F122"/>
    <mergeCell ref="B51:F51"/>
    <mergeCell ref="A49:E49"/>
    <mergeCell ref="B149:F149"/>
    <mergeCell ref="A153:E153"/>
    <mergeCell ref="B165:E165"/>
    <mergeCell ref="B161:E161"/>
    <mergeCell ref="B97:F97"/>
    <mergeCell ref="A137:E137"/>
    <mergeCell ref="A158:F158"/>
    <mergeCell ref="B170:E170"/>
    <mergeCell ref="B169:E169"/>
    <mergeCell ref="A2:F2"/>
    <mergeCell ref="B9:F9"/>
    <mergeCell ref="A6:A7"/>
    <mergeCell ref="B6:B7"/>
    <mergeCell ref="C6:C7"/>
    <mergeCell ref="A3:F3"/>
    <mergeCell ref="A4:F4"/>
    <mergeCell ref="A32:E32"/>
    <mergeCell ref="A71:E71"/>
    <mergeCell ref="B34:F34"/>
    <mergeCell ref="B162:E162"/>
    <mergeCell ref="A147:E147"/>
    <mergeCell ref="B73:F73"/>
    <mergeCell ref="A84:E84"/>
    <mergeCell ref="A156:F156"/>
    <mergeCell ref="B139:F139"/>
    <mergeCell ref="B86:F86"/>
    <mergeCell ref="A95:E95"/>
  </mergeCells>
  <phoneticPr fontId="0" type="noConversion"/>
  <pageMargins left="0.90551181102362199" right="0.196850393700787" top="0.39370078740157499" bottom="0.39370078740157499" header="0" footer="0.196850393700787"/>
  <pageSetup paperSize="9" orientation="portrait" r:id="rId1"/>
  <headerFooter>
    <oddFooter xml:space="preserve">&amp;C&amp;"Arial,Regular"&amp;9 &amp;R&amp;"Arial,Regular"&amp;9Страна  &amp;"Arial,Bold"&amp;P&amp;"Arial,Regular"  од  &amp;N  </oddFooter>
  </headerFooter>
  <rowBreaks count="12" manualBreakCount="12">
    <brk id="24" max="16383" man="1"/>
    <brk id="32" max="16383" man="1"/>
    <brk id="41" max="16383" man="1"/>
    <brk id="49" max="16383" man="1"/>
    <brk id="71" max="16383" man="1"/>
    <brk id="84" max="16383" man="1"/>
    <brk id="95" max="16383" man="1"/>
    <brk id="107" max="16383" man="1"/>
    <brk id="120" max="16383" man="1"/>
    <brk id="137" max="16383" man="1"/>
    <brk id="147" max="16383" man="1"/>
    <brk id="153"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907EB-D1A2-4DFC-9451-A2C2E302995F}">
  <sheetPr>
    <tabColor indexed="48"/>
  </sheetPr>
  <dimension ref="A1:F28"/>
  <sheetViews>
    <sheetView showZeros="0" tabSelected="1" view="pageBreakPreview" zoomScaleNormal="100" zoomScaleSheetLayoutView="125" workbookViewId="0">
      <selection activeCell="E40" sqref="E40"/>
    </sheetView>
  </sheetViews>
  <sheetFormatPr defaultColWidth="9.109375" defaultRowHeight="13.2"/>
  <cols>
    <col min="1" max="1" width="9" style="305" customWidth="1"/>
    <col min="2" max="2" width="14.33203125" style="304" customWidth="1"/>
    <col min="3" max="3" width="14" style="305" customWidth="1"/>
    <col min="4" max="4" width="9.109375" style="305"/>
    <col min="5" max="5" width="18.109375" style="304" customWidth="1"/>
    <col min="6" max="6" width="24.5546875" style="304" customWidth="1"/>
    <col min="7" max="7" width="15.44140625" style="304" bestFit="1" customWidth="1"/>
    <col min="8" max="9" width="9.109375" style="304"/>
    <col min="10" max="10" width="20.44140625" style="304" bestFit="1" customWidth="1"/>
    <col min="11" max="16384" width="9.109375" style="304"/>
  </cols>
  <sheetData>
    <row r="1" spans="1:6">
      <c r="A1" s="316"/>
      <c r="B1" s="315"/>
      <c r="C1" s="315"/>
      <c r="D1" s="315"/>
      <c r="E1" s="315"/>
      <c r="F1" s="315"/>
    </row>
    <row r="2" spans="1:6">
      <c r="A2" s="316"/>
      <c r="B2" s="315"/>
      <c r="C2" s="315"/>
      <c r="D2" s="315"/>
      <c r="E2" s="315"/>
      <c r="F2" s="315"/>
    </row>
    <row r="3" spans="1:6">
      <c r="A3" s="316"/>
      <c r="B3" s="315"/>
      <c r="C3" s="315"/>
      <c r="D3" s="315"/>
      <c r="E3" s="315"/>
      <c r="F3" s="315"/>
    </row>
    <row r="4" spans="1:6">
      <c r="A4" s="316"/>
      <c r="B4" s="315"/>
      <c r="C4" s="315"/>
      <c r="D4" s="315"/>
      <c r="E4" s="315"/>
      <c r="F4" s="315"/>
    </row>
    <row r="5" spans="1:6">
      <c r="A5" s="316"/>
      <c r="B5" s="315"/>
      <c r="C5" s="315"/>
      <c r="D5" s="315"/>
      <c r="E5" s="315"/>
      <c r="F5" s="315"/>
    </row>
    <row r="6" spans="1:6">
      <c r="A6" s="316"/>
      <c r="B6" s="315"/>
      <c r="C6" s="315"/>
      <c r="D6" s="315"/>
      <c r="E6" s="315"/>
      <c r="F6" s="315"/>
    </row>
    <row r="7" spans="1:6">
      <c r="A7" s="316"/>
      <c r="B7" s="315"/>
      <c r="C7" s="315"/>
      <c r="D7" s="315"/>
      <c r="E7" s="315"/>
      <c r="F7" s="315"/>
    </row>
    <row r="8" spans="1:6">
      <c r="A8" s="316"/>
      <c r="B8" s="315"/>
      <c r="C8" s="315"/>
      <c r="D8" s="315"/>
      <c r="E8" s="315"/>
      <c r="F8" s="315"/>
    </row>
    <row r="9" spans="1:6">
      <c r="A9" s="316"/>
      <c r="B9" s="315"/>
      <c r="C9" s="315"/>
      <c r="D9" s="315"/>
      <c r="E9" s="315"/>
      <c r="F9" s="315"/>
    </row>
    <row r="10" spans="1:6">
      <c r="A10" s="316"/>
      <c r="B10" s="315"/>
      <c r="C10" s="315"/>
      <c r="D10" s="315"/>
      <c r="E10" s="315"/>
      <c r="F10" s="315"/>
    </row>
    <row r="11" spans="1:6">
      <c r="A11" s="316"/>
      <c r="B11" s="315"/>
      <c r="C11" s="315"/>
      <c r="D11" s="315"/>
      <c r="E11" s="315"/>
      <c r="F11" s="315"/>
    </row>
    <row r="12" spans="1:6" ht="18.75" customHeight="1">
      <c r="A12" s="378" t="s">
        <v>325</v>
      </c>
      <c r="B12" s="379"/>
      <c r="C12" s="379"/>
      <c r="D12" s="379"/>
      <c r="E12" s="380"/>
      <c r="F12" s="380"/>
    </row>
    <row r="13" spans="1:6" ht="39" customHeight="1">
      <c r="A13" s="381" t="s">
        <v>338</v>
      </c>
      <c r="B13" s="381"/>
      <c r="C13" s="381"/>
      <c r="D13" s="381"/>
      <c r="E13" s="381"/>
      <c r="F13" s="381"/>
    </row>
    <row r="14" spans="1:6" ht="20.25" customHeight="1" thickBot="1">
      <c r="A14" s="382" t="s">
        <v>324</v>
      </c>
      <c r="B14" s="382"/>
      <c r="C14" s="382"/>
      <c r="D14" s="382"/>
      <c r="E14" s="382"/>
      <c r="F14" s="382"/>
    </row>
    <row r="15" spans="1:6" ht="15.9" customHeight="1" thickTop="1" thickBot="1">
      <c r="A15" s="314" t="s">
        <v>323</v>
      </c>
      <c r="B15" s="372" t="s">
        <v>322</v>
      </c>
      <c r="C15" s="373"/>
      <c r="D15" s="374"/>
      <c r="E15" s="375"/>
      <c r="F15" s="313">
        <f>'LIFT 1'!F171</f>
        <v>0</v>
      </c>
    </row>
    <row r="16" spans="1:6" ht="15.9" customHeight="1" thickTop="1" thickBot="1">
      <c r="A16" s="314" t="s">
        <v>321</v>
      </c>
      <c r="B16" s="372" t="s">
        <v>320</v>
      </c>
      <c r="C16" s="373"/>
      <c r="D16" s="374"/>
      <c r="E16" s="375"/>
      <c r="F16" s="313">
        <f>'LIFT 2'!F170</f>
        <v>0</v>
      </c>
    </row>
    <row r="17" spans="1:6" ht="15.9" customHeight="1" thickTop="1" thickBot="1">
      <c r="A17" s="314" t="s">
        <v>319</v>
      </c>
      <c r="B17" s="372" t="s">
        <v>318</v>
      </c>
      <c r="C17" s="373"/>
      <c r="D17" s="374"/>
      <c r="E17" s="375"/>
      <c r="F17" s="313">
        <f>'LIFT 3'!F172</f>
        <v>0</v>
      </c>
    </row>
    <row r="18" spans="1:6" ht="15.9" customHeight="1" thickTop="1" thickBot="1">
      <c r="A18" s="314" t="s">
        <v>317</v>
      </c>
      <c r="B18" s="372" t="s">
        <v>316</v>
      </c>
      <c r="C18" s="373"/>
      <c r="D18" s="374"/>
      <c r="E18" s="375"/>
      <c r="F18" s="313">
        <f>'LIFT 4'!F168</f>
        <v>0</v>
      </c>
    </row>
    <row r="19" spans="1:6" ht="15.9" customHeight="1" thickTop="1" thickBot="1">
      <c r="A19" s="312" t="s">
        <v>315</v>
      </c>
      <c r="B19" s="372" t="s">
        <v>314</v>
      </c>
      <c r="C19" s="373"/>
      <c r="D19" s="374"/>
      <c r="E19" s="375"/>
      <c r="F19" s="310">
        <f>'LIFT 5'!F144</f>
        <v>0</v>
      </c>
    </row>
    <row r="20" spans="1:6" ht="15.9" customHeight="1" thickTop="1" thickBot="1">
      <c r="A20" s="312" t="s">
        <v>313</v>
      </c>
      <c r="B20" s="372" t="s">
        <v>312</v>
      </c>
      <c r="C20" s="373"/>
      <c r="D20" s="374"/>
      <c r="E20" s="375"/>
      <c r="F20" s="310">
        <f>'LIFT 6'!F153</f>
        <v>0</v>
      </c>
    </row>
    <row r="21" spans="1:6" ht="15.9" customHeight="1" thickTop="1" thickBot="1">
      <c r="A21" s="312" t="s">
        <v>311</v>
      </c>
      <c r="B21" s="372" t="s">
        <v>310</v>
      </c>
      <c r="C21" s="373"/>
      <c r="D21" s="374"/>
      <c r="E21" s="375"/>
      <c r="F21" s="310">
        <f>'LIFT 7'!F128</f>
        <v>0</v>
      </c>
    </row>
    <row r="22" spans="1:6" ht="15.9" customHeight="1" thickTop="1" thickBot="1">
      <c r="A22" s="312" t="s">
        <v>309</v>
      </c>
      <c r="B22" s="372" t="s">
        <v>308</v>
      </c>
      <c r="C22" s="373"/>
      <c r="D22" s="374"/>
      <c r="E22" s="375"/>
      <c r="F22" s="310">
        <f>'LIFT 8'!F102</f>
        <v>0</v>
      </c>
    </row>
    <row r="23" spans="1:6" ht="15.9" customHeight="1" thickTop="1" thickBot="1">
      <c r="A23" s="312" t="s">
        <v>307</v>
      </c>
      <c r="B23" s="372" t="s">
        <v>306</v>
      </c>
      <c r="C23" s="373"/>
      <c r="D23" s="374"/>
      <c r="E23" s="375"/>
      <c r="F23" s="310">
        <f>'LIFT 9'!F102</f>
        <v>0</v>
      </c>
    </row>
    <row r="24" spans="1:6" ht="15.9" customHeight="1" thickTop="1" thickBot="1">
      <c r="A24" s="312"/>
      <c r="B24" s="311"/>
      <c r="C24" s="311"/>
      <c r="D24" s="311"/>
      <c r="E24" s="311"/>
      <c r="F24" s="310"/>
    </row>
    <row r="25" spans="1:6" ht="15.9" customHeight="1" thickTop="1" thickBot="1">
      <c r="A25" s="309"/>
      <c r="B25" s="376" t="s">
        <v>305</v>
      </c>
      <c r="C25" s="376"/>
      <c r="D25" s="376"/>
      <c r="E25" s="377"/>
      <c r="F25" s="308">
        <f>SUM(F15:F24)</f>
        <v>0</v>
      </c>
    </row>
    <row r="26" spans="1:6" ht="20.25" customHeight="1" thickTop="1">
      <c r="A26" s="304"/>
      <c r="C26" s="304"/>
      <c r="D26" s="304"/>
    </row>
    <row r="27" spans="1:6" ht="20.25" customHeight="1">
      <c r="A27" s="304"/>
      <c r="C27" s="304"/>
      <c r="D27" s="304"/>
    </row>
    <row r="28" spans="1:6" ht="20.25" customHeight="1">
      <c r="A28" s="304"/>
      <c r="C28" s="304"/>
      <c r="D28" s="307"/>
      <c r="E28" s="307"/>
      <c r="F28" s="306"/>
    </row>
  </sheetData>
  <sheetProtection algorithmName="SHA-512" hashValue="Ro9JZO3c8SuelcKhNTGIIN2AsoQ0BEpI08lWPWS6PhiLmVVib7aYnINeDv4VclNFwXNMhnBpVxqMgNssqZaAEw==" saltValue="RASdbY6zAoKsQY0d9TVZww==" spinCount="100000" sheet="1" formatCells="0" formatColumns="0" formatRows="0" insertColumns="0" insertRows="0" insertHyperlinks="0" deleteColumns="0" deleteRows="0" sort="0" autoFilter="0" pivotTables="0"/>
  <mergeCells count="13">
    <mergeCell ref="B22:E22"/>
    <mergeCell ref="B23:E23"/>
    <mergeCell ref="B25:E25"/>
    <mergeCell ref="B21:E21"/>
    <mergeCell ref="A12:F12"/>
    <mergeCell ref="A13:F13"/>
    <mergeCell ref="A14:F14"/>
    <mergeCell ref="B15:E15"/>
    <mergeCell ref="B16:E16"/>
    <mergeCell ref="B17:E17"/>
    <mergeCell ref="B18:E18"/>
    <mergeCell ref="B19:E19"/>
    <mergeCell ref="B20:E20"/>
  </mergeCells>
  <pageMargins left="0.98425196850393704" right="0.39370078740157499" top="0.39370078740157499" bottom="0.39370078740157499" header="0.196850393700787" footer="0.196850393700787"/>
  <pageSetup paperSize="9" scale="93" orientation="portrait" horizontalDpi="4294967295" verticalDpi="4294967295" r:id="rId1"/>
  <headerFooter alignWithMargins="0">
    <oddHeader xml:space="preserve">&amp;C&amp;"Arial,Regular"
</oddHeader>
    <oddFooter xml:space="preserve">&amp;C&amp;"Arial,Regular"2018-684-АРХ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D4431-F681-4AAA-9A86-1EABBEB705D3}">
  <dimension ref="A1:G171"/>
  <sheetViews>
    <sheetView showGridLines="0" showZeros="0" view="pageBreakPreview" zoomScale="110" zoomScaleNormal="100" zoomScaleSheetLayoutView="110" workbookViewId="0">
      <selection activeCell="A3" sqref="A3:F3"/>
    </sheetView>
  </sheetViews>
  <sheetFormatPr defaultColWidth="9.109375" defaultRowHeight="13.2"/>
  <cols>
    <col min="1" max="1" width="9.6640625" style="131" customWidth="1"/>
    <col min="2" max="2" width="36.44140625" style="131" customWidth="1"/>
    <col min="3" max="3" width="5.6640625" style="131" customWidth="1"/>
    <col min="4" max="4" width="9.6640625" style="131" customWidth="1"/>
    <col min="5" max="5" width="15.33203125" style="131" customWidth="1"/>
    <col min="6" max="6" width="15.6640625" style="131" customWidth="1"/>
    <col min="7" max="7" width="1.6640625" style="131" customWidth="1"/>
    <col min="8" max="8" width="13.109375" style="162" customWidth="1"/>
    <col min="9" max="16384" width="9.109375" style="162"/>
  </cols>
  <sheetData>
    <row r="1" spans="1:6" ht="7.5" customHeight="1"/>
    <row r="2" spans="1:6" ht="15.6">
      <c r="A2" s="353" t="s">
        <v>0</v>
      </c>
      <c r="B2" s="353"/>
      <c r="C2" s="353"/>
      <c r="D2" s="353"/>
      <c r="E2" s="353"/>
      <c r="F2" s="353"/>
    </row>
    <row r="3" spans="1:6" ht="48" customHeight="1">
      <c r="A3" s="344" t="s">
        <v>327</v>
      </c>
      <c r="B3" s="344"/>
      <c r="C3" s="344"/>
      <c r="D3" s="344"/>
      <c r="E3" s="344"/>
      <c r="F3" s="344"/>
    </row>
    <row r="4" spans="1:6">
      <c r="A4" s="358" t="s">
        <v>39</v>
      </c>
      <c r="B4" s="359"/>
      <c r="C4" s="359"/>
      <c r="D4" s="359"/>
      <c r="E4" s="359"/>
      <c r="F4" s="359"/>
    </row>
    <row r="5" spans="1:6" ht="4.5" customHeight="1" thickBot="1"/>
    <row r="6" spans="1:6" ht="27.6" thickTop="1" thickBot="1">
      <c r="A6" s="354" t="s">
        <v>1</v>
      </c>
      <c r="B6" s="356" t="s">
        <v>4</v>
      </c>
      <c r="C6" s="356" t="s">
        <v>10</v>
      </c>
      <c r="D6" s="273" t="s">
        <v>2</v>
      </c>
      <c r="E6" s="273" t="s">
        <v>5</v>
      </c>
      <c r="F6" s="132" t="s">
        <v>6</v>
      </c>
    </row>
    <row r="7" spans="1:6" ht="14.4" thickTop="1" thickBot="1">
      <c r="A7" s="355"/>
      <c r="B7" s="357"/>
      <c r="C7" s="357"/>
      <c r="D7" s="272" t="s">
        <v>7</v>
      </c>
      <c r="E7" s="272" t="s">
        <v>8</v>
      </c>
      <c r="F7" s="133" t="s">
        <v>9</v>
      </c>
    </row>
    <row r="8" spans="1:6" ht="9.9" customHeight="1" thickTop="1" thickBot="1">
      <c r="A8" s="271"/>
      <c r="B8" s="271"/>
      <c r="C8" s="271"/>
      <c r="D8" s="134"/>
      <c r="E8" s="134"/>
      <c r="F8" s="134"/>
    </row>
    <row r="9" spans="1:6" ht="20.100000000000001" customHeight="1" thickTop="1" thickBot="1">
      <c r="A9" s="159" t="s">
        <v>25</v>
      </c>
      <c r="B9" s="323" t="s">
        <v>12</v>
      </c>
      <c r="C9" s="348"/>
      <c r="D9" s="348"/>
      <c r="E9" s="348"/>
      <c r="F9" s="349"/>
    </row>
    <row r="10" spans="1:6" ht="12.75" customHeight="1" thickTop="1">
      <c r="A10" s="270"/>
      <c r="B10" s="219" t="s">
        <v>45</v>
      </c>
      <c r="C10" s="269"/>
      <c r="D10" s="269"/>
      <c r="E10" s="269"/>
      <c r="F10" s="135"/>
    </row>
    <row r="11" spans="1:6" ht="102" customHeight="1">
      <c r="A11" s="224"/>
      <c r="B11" s="243" t="s">
        <v>46</v>
      </c>
      <c r="C11" s="268"/>
      <c r="D11" s="268"/>
      <c r="E11" s="268"/>
      <c r="F11" s="136"/>
    </row>
    <row r="12" spans="1:6" ht="39.6">
      <c r="A12" s="172" t="s">
        <v>14</v>
      </c>
      <c r="B12" s="197" t="s">
        <v>92</v>
      </c>
      <c r="C12" s="170"/>
      <c r="D12" s="170"/>
      <c r="E12" s="187"/>
      <c r="F12" s="137"/>
    </row>
    <row r="13" spans="1:6" ht="39.6">
      <c r="A13" s="186"/>
      <c r="B13" s="225" t="s">
        <v>66</v>
      </c>
      <c r="C13" s="184"/>
      <c r="D13" s="184"/>
      <c r="E13" s="182"/>
      <c r="F13" s="138"/>
    </row>
    <row r="14" spans="1:6">
      <c r="A14" s="181"/>
      <c r="B14" s="267" t="s">
        <v>100</v>
      </c>
      <c r="C14" s="179" t="s">
        <v>3</v>
      </c>
      <c r="D14" s="179">
        <v>1</v>
      </c>
      <c r="E14" s="168"/>
      <c r="F14" s="128">
        <f>D14*E14</f>
        <v>0</v>
      </c>
    </row>
    <row r="15" spans="1:6" ht="66">
      <c r="A15" s="172" t="s">
        <v>15</v>
      </c>
      <c r="B15" s="197" t="s">
        <v>170</v>
      </c>
      <c r="C15" s="170"/>
      <c r="D15" s="170"/>
      <c r="E15" s="187"/>
      <c r="F15" s="137"/>
    </row>
    <row r="16" spans="1:6" ht="26.4">
      <c r="A16" s="186"/>
      <c r="B16" s="243" t="s">
        <v>67</v>
      </c>
      <c r="C16" s="184"/>
      <c r="D16" s="184"/>
      <c r="E16" s="182"/>
      <c r="F16" s="138"/>
    </row>
    <row r="17" spans="1:6">
      <c r="A17" s="181"/>
      <c r="B17" s="171" t="s">
        <v>101</v>
      </c>
      <c r="C17" s="179" t="s">
        <v>3</v>
      </c>
      <c r="D17" s="179">
        <v>1</v>
      </c>
      <c r="E17" s="168"/>
      <c r="F17" s="128">
        <f>D17*E17</f>
        <v>0</v>
      </c>
    </row>
    <row r="18" spans="1:6">
      <c r="A18" s="181"/>
      <c r="B18" s="171" t="s">
        <v>102</v>
      </c>
      <c r="C18" s="179" t="s">
        <v>3</v>
      </c>
      <c r="D18" s="179">
        <v>1</v>
      </c>
      <c r="E18" s="168"/>
      <c r="F18" s="128">
        <f>D18*E18</f>
        <v>0</v>
      </c>
    </row>
    <row r="19" spans="1:6" ht="66">
      <c r="A19" s="172" t="s">
        <v>16</v>
      </c>
      <c r="B19" s="189" t="s">
        <v>103</v>
      </c>
      <c r="C19" s="170"/>
      <c r="D19" s="266"/>
      <c r="E19" s="187"/>
      <c r="F19" s="137"/>
    </row>
    <row r="20" spans="1:6" ht="26.4">
      <c r="A20" s="195"/>
      <c r="B20" s="228" t="s">
        <v>69</v>
      </c>
      <c r="C20" s="193"/>
      <c r="D20" s="265"/>
      <c r="E20" s="191"/>
      <c r="F20" s="130"/>
    </row>
    <row r="21" spans="1:6">
      <c r="A21" s="181"/>
      <c r="B21" s="261" t="s">
        <v>104</v>
      </c>
      <c r="C21" s="179" t="s">
        <v>70</v>
      </c>
      <c r="D21" s="178">
        <f>0.5*(0.6*0.6*2+1.95*0.6)</f>
        <v>0.94499999999999995</v>
      </c>
      <c r="E21" s="168"/>
      <c r="F21" s="128">
        <f>D21*E21</f>
        <v>0</v>
      </c>
    </row>
    <row r="22" spans="1:6" ht="26.4">
      <c r="A22" s="172" t="s">
        <v>17</v>
      </c>
      <c r="B22" s="234" t="s">
        <v>106</v>
      </c>
      <c r="C22" s="170"/>
      <c r="D22" s="170"/>
      <c r="E22" s="187"/>
      <c r="F22" s="137"/>
    </row>
    <row r="23" spans="1:6" ht="52.8">
      <c r="A23" s="186"/>
      <c r="B23" s="264" t="s">
        <v>105</v>
      </c>
      <c r="C23" s="184"/>
      <c r="D23" s="184"/>
      <c r="E23" s="182"/>
      <c r="F23" s="138"/>
    </row>
    <row r="24" spans="1:6" ht="26.4">
      <c r="A24" s="195"/>
      <c r="B24" s="228" t="s">
        <v>68</v>
      </c>
      <c r="C24" s="193" t="s">
        <v>13</v>
      </c>
      <c r="D24" s="249">
        <v>31.8</v>
      </c>
      <c r="E24" s="191"/>
      <c r="F24" s="130">
        <f>D24*E24</f>
        <v>0</v>
      </c>
    </row>
    <row r="25" spans="1:6" ht="26.4">
      <c r="A25" s="172" t="s">
        <v>18</v>
      </c>
      <c r="B25" s="263" t="s">
        <v>107</v>
      </c>
      <c r="C25" s="170"/>
      <c r="D25" s="251"/>
      <c r="E25" s="187"/>
      <c r="F25" s="137"/>
    </row>
    <row r="26" spans="1:6" ht="52.8">
      <c r="A26" s="186"/>
      <c r="B26" s="262" t="s">
        <v>108</v>
      </c>
      <c r="C26" s="184"/>
      <c r="D26" s="250"/>
      <c r="E26" s="182"/>
      <c r="F26" s="138"/>
    </row>
    <row r="27" spans="1:6" ht="26.4">
      <c r="A27" s="195"/>
      <c r="B27" s="228" t="s">
        <v>68</v>
      </c>
      <c r="C27" s="193" t="s">
        <v>13</v>
      </c>
      <c r="D27" s="249">
        <v>31.8</v>
      </c>
      <c r="E27" s="191"/>
      <c r="F27" s="130">
        <f>D27*E27</f>
        <v>0</v>
      </c>
    </row>
    <row r="28" spans="1:6" ht="26.4">
      <c r="A28" s="172" t="s">
        <v>94</v>
      </c>
      <c r="B28" s="197" t="s">
        <v>95</v>
      </c>
      <c r="C28" s="170"/>
      <c r="D28" s="170"/>
      <c r="E28" s="187"/>
      <c r="F28" s="137"/>
    </row>
    <row r="29" spans="1:6" ht="52.8">
      <c r="A29" s="186"/>
      <c r="B29" s="243" t="s">
        <v>96</v>
      </c>
      <c r="C29" s="184"/>
      <c r="D29" s="184"/>
      <c r="E29" s="182"/>
      <c r="F29" s="138"/>
    </row>
    <row r="30" spans="1:6" ht="26.4">
      <c r="A30" s="195"/>
      <c r="B30" s="194" t="s">
        <v>68</v>
      </c>
      <c r="C30" s="193" t="s">
        <v>13</v>
      </c>
      <c r="D30" s="249">
        <v>25.41</v>
      </c>
      <c r="E30" s="191"/>
      <c r="F30" s="130">
        <f>D30*E30</f>
        <v>0</v>
      </c>
    </row>
    <row r="31" spans="1:6" ht="9.9" customHeight="1">
      <c r="A31" s="139"/>
      <c r="B31" s="139"/>
      <c r="C31" s="139"/>
      <c r="D31" s="139"/>
      <c r="E31" s="139"/>
      <c r="F31" s="139"/>
    </row>
    <row r="32" spans="1:6" ht="20.100000000000001" customHeight="1" thickBot="1">
      <c r="A32" s="341" t="s">
        <v>11</v>
      </c>
      <c r="B32" s="342"/>
      <c r="C32" s="342"/>
      <c r="D32" s="342"/>
      <c r="E32" s="343"/>
      <c r="F32" s="140">
        <f>SUM(F12:F31)</f>
        <v>0</v>
      </c>
    </row>
    <row r="33" spans="1:6" ht="9.9" customHeight="1" thickTop="1" thickBot="1">
      <c r="A33" s="141"/>
      <c r="B33" s="141"/>
      <c r="C33" s="141"/>
      <c r="D33" s="141"/>
      <c r="E33" s="141"/>
      <c r="F33" s="141"/>
    </row>
    <row r="34" spans="1:6" ht="20.100000000000001" customHeight="1" thickTop="1" thickBot="1">
      <c r="A34" s="159" t="s">
        <v>29</v>
      </c>
      <c r="B34" s="323" t="s">
        <v>50</v>
      </c>
      <c r="C34" s="348"/>
      <c r="D34" s="348"/>
      <c r="E34" s="348"/>
      <c r="F34" s="349"/>
    </row>
    <row r="35" spans="1:6" ht="53.4" thickTop="1">
      <c r="A35" s="177" t="s">
        <v>20</v>
      </c>
      <c r="B35" s="225" t="s">
        <v>117</v>
      </c>
      <c r="C35" s="244"/>
      <c r="D35" s="244"/>
      <c r="E35" s="244"/>
      <c r="F35" s="142"/>
    </row>
    <row r="36" spans="1:6" ht="26.4">
      <c r="A36" s="259"/>
      <c r="B36" s="225" t="s">
        <v>115</v>
      </c>
      <c r="C36" s="242"/>
      <c r="D36" s="242"/>
      <c r="E36" s="242"/>
      <c r="F36" s="143"/>
    </row>
    <row r="37" spans="1:6">
      <c r="A37" s="259"/>
      <c r="B37" s="225" t="s">
        <v>116</v>
      </c>
      <c r="C37" s="242"/>
      <c r="D37" s="242"/>
      <c r="E37" s="242"/>
      <c r="F37" s="143"/>
    </row>
    <row r="38" spans="1:6" ht="12.75" customHeight="1">
      <c r="A38" s="181"/>
      <c r="B38" s="261" t="s">
        <v>118</v>
      </c>
      <c r="C38" s="179" t="s">
        <v>70</v>
      </c>
      <c r="D38" s="199">
        <f>0.2*0.2*(5.8*2+5.15*2)</f>
        <v>0.87600000000000011</v>
      </c>
      <c r="E38" s="168"/>
      <c r="F38" s="128">
        <f>D38*E38</f>
        <v>0</v>
      </c>
    </row>
    <row r="39" spans="1:6" ht="8.25" customHeight="1">
      <c r="A39" s="256"/>
      <c r="B39" s="255"/>
      <c r="C39" s="144"/>
      <c r="D39" s="144"/>
      <c r="E39" s="144"/>
      <c r="F39" s="144"/>
    </row>
    <row r="40" spans="1:6" ht="19.5" customHeight="1" thickBot="1">
      <c r="A40" s="341" t="s">
        <v>51</v>
      </c>
      <c r="B40" s="342"/>
      <c r="C40" s="342"/>
      <c r="D40" s="342"/>
      <c r="E40" s="343"/>
      <c r="F40" s="140">
        <f>SUM(F38:F39)</f>
        <v>0</v>
      </c>
    </row>
    <row r="41" spans="1:6" ht="9.75" customHeight="1" thickTop="1" thickBot="1">
      <c r="A41" s="141"/>
      <c r="B41" s="141"/>
      <c r="C41" s="141"/>
      <c r="D41" s="141"/>
      <c r="E41" s="141"/>
      <c r="F41" s="141"/>
    </row>
    <row r="42" spans="1:6" ht="16.5" customHeight="1" thickTop="1" thickBot="1">
      <c r="A42" s="159" t="s">
        <v>28</v>
      </c>
      <c r="B42" s="323" t="s">
        <v>110</v>
      </c>
      <c r="C42" s="348"/>
      <c r="D42" s="348"/>
      <c r="E42" s="348"/>
      <c r="F42" s="349"/>
    </row>
    <row r="43" spans="1:6" ht="40.200000000000003" thickTop="1">
      <c r="A43" s="177" t="s">
        <v>27</v>
      </c>
      <c r="B43" s="260" t="s">
        <v>111</v>
      </c>
      <c r="C43" s="242"/>
      <c r="D43" s="242"/>
      <c r="E43" s="242"/>
      <c r="F43" s="143"/>
    </row>
    <row r="44" spans="1:6" ht="39.6">
      <c r="A44" s="259"/>
      <c r="B44" s="258" t="s">
        <v>112</v>
      </c>
      <c r="C44" s="242"/>
      <c r="D44" s="242"/>
      <c r="E44" s="242"/>
      <c r="F44" s="143"/>
    </row>
    <row r="45" spans="1:6" ht="39.6">
      <c r="A45" s="259"/>
      <c r="B45" s="258" t="s">
        <v>113</v>
      </c>
      <c r="C45" s="242"/>
      <c r="D45" s="242"/>
      <c r="E45" s="242"/>
      <c r="F45" s="143"/>
    </row>
    <row r="46" spans="1:6" ht="12.75" customHeight="1">
      <c r="A46" s="257"/>
      <c r="B46" s="221" t="s">
        <v>114</v>
      </c>
      <c r="C46" s="193" t="s">
        <v>77</v>
      </c>
      <c r="D46" s="249">
        <f>0.8*100</f>
        <v>80</v>
      </c>
      <c r="E46" s="191"/>
      <c r="F46" s="130">
        <f>D46*E46</f>
        <v>0</v>
      </c>
    </row>
    <row r="47" spans="1:6" ht="9" customHeight="1">
      <c r="A47" s="256"/>
      <c r="B47" s="255"/>
      <c r="C47" s="144"/>
      <c r="D47" s="144"/>
      <c r="E47" s="144"/>
      <c r="F47" s="144"/>
    </row>
    <row r="48" spans="1:6" ht="20.100000000000001" customHeight="1" thickBot="1">
      <c r="A48" s="341" t="s">
        <v>109</v>
      </c>
      <c r="B48" s="342"/>
      <c r="C48" s="342"/>
      <c r="D48" s="342"/>
      <c r="E48" s="343"/>
      <c r="F48" s="140">
        <f>SUM(F46:F47)</f>
        <v>0</v>
      </c>
    </row>
    <row r="49" spans="1:6" ht="9" customHeight="1" thickTop="1" thickBot="1">
      <c r="A49" s="141"/>
      <c r="B49" s="141"/>
      <c r="C49" s="141"/>
      <c r="D49" s="141"/>
      <c r="E49" s="141"/>
      <c r="F49" s="141"/>
    </row>
    <row r="50" spans="1:6" ht="20.100000000000001" customHeight="1" thickTop="1" thickBot="1">
      <c r="A50" s="159" t="s">
        <v>30</v>
      </c>
      <c r="B50" s="323" t="s">
        <v>19</v>
      </c>
      <c r="C50" s="348"/>
      <c r="D50" s="348"/>
      <c r="E50" s="348"/>
      <c r="F50" s="349"/>
    </row>
    <row r="51" spans="1:6" ht="13.8" thickTop="1">
      <c r="A51" s="177" t="s">
        <v>43</v>
      </c>
      <c r="B51" s="131" t="s">
        <v>119</v>
      </c>
      <c r="C51" s="244"/>
      <c r="D51" s="244"/>
      <c r="E51" s="244"/>
      <c r="F51" s="138"/>
    </row>
    <row r="52" spans="1:6">
      <c r="A52" s="186"/>
      <c r="B52" s="131" t="s">
        <v>120</v>
      </c>
      <c r="C52" s="242"/>
      <c r="D52" s="242"/>
      <c r="E52" s="242"/>
      <c r="F52" s="138"/>
    </row>
    <row r="53" spans="1:6">
      <c r="A53" s="186"/>
      <c r="B53" s="131" t="s">
        <v>121</v>
      </c>
      <c r="C53" s="242"/>
      <c r="D53" s="242"/>
      <c r="E53" s="242"/>
      <c r="F53" s="138"/>
    </row>
    <row r="54" spans="1:6">
      <c r="A54" s="186"/>
      <c r="B54" s="131" t="s">
        <v>31</v>
      </c>
      <c r="C54" s="242"/>
      <c r="D54" s="242"/>
      <c r="E54" s="242"/>
      <c r="F54" s="138"/>
    </row>
    <row r="55" spans="1:6">
      <c r="A55" s="172"/>
      <c r="B55" s="197" t="s">
        <v>47</v>
      </c>
      <c r="C55" s="230"/>
      <c r="D55" s="230"/>
      <c r="E55" s="230"/>
      <c r="F55" s="137"/>
    </row>
    <row r="56" spans="1:6">
      <c r="A56" s="195"/>
      <c r="B56" s="254" t="s">
        <v>122</v>
      </c>
      <c r="C56" s="193" t="s">
        <v>13</v>
      </c>
      <c r="D56" s="253">
        <f>0.8*1.8</f>
        <v>1.4400000000000002</v>
      </c>
      <c r="E56" s="191"/>
      <c r="F56" s="130">
        <f>D56*E56</f>
        <v>0</v>
      </c>
    </row>
    <row r="57" spans="1:6" ht="66">
      <c r="A57" s="172" t="s">
        <v>44</v>
      </c>
      <c r="B57" s="197" t="s">
        <v>128</v>
      </c>
      <c r="C57" s="170"/>
      <c r="D57" s="251"/>
      <c r="E57" s="187"/>
      <c r="F57" s="137"/>
    </row>
    <row r="58" spans="1:6" ht="39.6">
      <c r="A58" s="186"/>
      <c r="B58" s="243" t="s">
        <v>48</v>
      </c>
      <c r="C58" s="184"/>
      <c r="D58" s="250"/>
      <c r="E58" s="182"/>
      <c r="F58" s="138"/>
    </row>
    <row r="59" spans="1:6">
      <c r="A59" s="195"/>
      <c r="B59" s="194" t="s">
        <v>49</v>
      </c>
      <c r="C59" s="193"/>
      <c r="D59" s="249"/>
      <c r="E59" s="191"/>
      <c r="F59" s="130"/>
    </row>
    <row r="60" spans="1:6">
      <c r="A60" s="181"/>
      <c r="B60" s="254" t="s">
        <v>122</v>
      </c>
      <c r="C60" s="193" t="s">
        <v>13</v>
      </c>
      <c r="D60" s="253">
        <f>0.8*1.8</f>
        <v>1.4400000000000002</v>
      </c>
      <c r="E60" s="168"/>
      <c r="F60" s="130">
        <f>D60*E60</f>
        <v>0</v>
      </c>
    </row>
    <row r="61" spans="1:6" ht="39.6">
      <c r="A61" s="172" t="s">
        <v>52</v>
      </c>
      <c r="B61" s="189" t="s">
        <v>71</v>
      </c>
      <c r="C61" s="170"/>
      <c r="D61" s="196"/>
      <c r="E61" s="187"/>
      <c r="F61" s="137"/>
    </row>
    <row r="62" spans="1:6">
      <c r="A62" s="186"/>
      <c r="B62" s="243" t="s">
        <v>72</v>
      </c>
      <c r="C62" s="184"/>
      <c r="D62" s="190"/>
      <c r="E62" s="182"/>
      <c r="F62" s="138"/>
    </row>
    <row r="63" spans="1:6">
      <c r="A63" s="181"/>
      <c r="B63" s="206" t="s">
        <v>129</v>
      </c>
      <c r="C63" s="179" t="s">
        <v>26</v>
      </c>
      <c r="D63" s="178">
        <f>(1.31+2.1*2)*4</f>
        <v>22.04</v>
      </c>
      <c r="E63" s="168"/>
      <c r="F63" s="128">
        <f>D63*E63</f>
        <v>0</v>
      </c>
    </row>
    <row r="64" spans="1:6" ht="52.8">
      <c r="A64" s="172" t="s">
        <v>90</v>
      </c>
      <c r="B64" s="189" t="s">
        <v>99</v>
      </c>
      <c r="C64" s="170"/>
      <c r="D64" s="196"/>
      <c r="E64" s="187"/>
      <c r="F64" s="137"/>
    </row>
    <row r="65" spans="1:6">
      <c r="A65" s="186"/>
      <c r="B65" s="185" t="s">
        <v>97</v>
      </c>
      <c r="C65" s="184"/>
      <c r="D65" s="190"/>
      <c r="E65" s="182"/>
      <c r="F65" s="138"/>
    </row>
    <row r="66" spans="1:6">
      <c r="A66" s="186"/>
      <c r="B66" s="252" t="s">
        <v>98</v>
      </c>
      <c r="C66" s="184"/>
      <c r="D66" s="190"/>
      <c r="E66" s="182"/>
      <c r="F66" s="138"/>
    </row>
    <row r="67" spans="1:6" ht="39.6">
      <c r="A67" s="186"/>
      <c r="B67" s="185" t="s">
        <v>91</v>
      </c>
      <c r="C67" s="184"/>
      <c r="D67" s="190"/>
      <c r="E67" s="182"/>
      <c r="F67" s="138"/>
    </row>
    <row r="68" spans="1:6">
      <c r="A68" s="181"/>
      <c r="B68" s="206" t="s">
        <v>31</v>
      </c>
      <c r="C68" s="179" t="s">
        <v>13</v>
      </c>
      <c r="D68" s="178">
        <v>25.41</v>
      </c>
      <c r="E68" s="168"/>
      <c r="F68" s="128">
        <f>D68*E68</f>
        <v>0</v>
      </c>
    </row>
    <row r="69" spans="1:6" ht="9.9" customHeight="1">
      <c r="A69" s="139"/>
      <c r="B69" s="139"/>
      <c r="C69" s="139"/>
      <c r="D69" s="139"/>
      <c r="E69" s="139"/>
      <c r="F69" s="139"/>
    </row>
    <row r="70" spans="1:6" ht="20.100000000000001" customHeight="1" thickBot="1">
      <c r="A70" s="341" t="s">
        <v>21</v>
      </c>
      <c r="B70" s="342"/>
      <c r="C70" s="342"/>
      <c r="D70" s="342"/>
      <c r="E70" s="343"/>
      <c r="F70" s="140">
        <f>SUM(F56:F68)</f>
        <v>0</v>
      </c>
    </row>
    <row r="71" spans="1:6" ht="9.9" customHeight="1" thickTop="1" thickBot="1">
      <c r="A71" s="141"/>
      <c r="B71" s="141"/>
      <c r="C71" s="141"/>
      <c r="D71" s="141"/>
      <c r="E71" s="141"/>
      <c r="F71" s="141"/>
    </row>
    <row r="72" spans="1:6" ht="20.100000000000001" customHeight="1" thickTop="1" thickBot="1">
      <c r="A72" s="159" t="s">
        <v>35</v>
      </c>
      <c r="B72" s="323" t="s">
        <v>73</v>
      </c>
      <c r="C72" s="348"/>
      <c r="D72" s="348"/>
      <c r="E72" s="348"/>
      <c r="F72" s="349"/>
    </row>
    <row r="73" spans="1:6" ht="79.8" thickTop="1">
      <c r="A73" s="172" t="s">
        <v>32</v>
      </c>
      <c r="B73" s="197" t="s">
        <v>124</v>
      </c>
      <c r="C73" s="170"/>
      <c r="D73" s="251"/>
      <c r="E73" s="187"/>
      <c r="F73" s="137"/>
    </row>
    <row r="74" spans="1:6" ht="79.2">
      <c r="A74" s="186"/>
      <c r="B74" s="243" t="s">
        <v>123</v>
      </c>
      <c r="C74" s="184"/>
      <c r="D74" s="250"/>
      <c r="E74" s="182"/>
      <c r="F74" s="138"/>
    </row>
    <row r="75" spans="1:6" ht="92.4">
      <c r="A75" s="186"/>
      <c r="B75" s="243" t="s">
        <v>125</v>
      </c>
      <c r="C75" s="184"/>
      <c r="D75" s="250"/>
      <c r="E75" s="182"/>
      <c r="F75" s="138"/>
    </row>
    <row r="76" spans="1:6">
      <c r="A76" s="195"/>
      <c r="B76" s="194" t="s">
        <v>34</v>
      </c>
      <c r="C76" s="193"/>
      <c r="D76" s="249"/>
      <c r="E76" s="191"/>
      <c r="F76" s="130"/>
    </row>
    <row r="77" spans="1:6" ht="26.4">
      <c r="A77" s="248"/>
      <c r="B77" s="194" t="s">
        <v>126</v>
      </c>
      <c r="C77" s="179" t="s">
        <v>3</v>
      </c>
      <c r="D77" s="247">
        <v>1</v>
      </c>
      <c r="E77" s="191"/>
      <c r="F77" s="130">
        <f>D77*E77</f>
        <v>0</v>
      </c>
    </row>
    <row r="78" spans="1:6" ht="26.4">
      <c r="A78" s="248"/>
      <c r="B78" s="194" t="s">
        <v>127</v>
      </c>
      <c r="C78" s="179" t="s">
        <v>3</v>
      </c>
      <c r="D78" s="247">
        <v>1</v>
      </c>
      <c r="E78" s="191"/>
      <c r="F78" s="130">
        <f>D78*E78</f>
        <v>0</v>
      </c>
    </row>
    <row r="79" spans="1:6" ht="52.8">
      <c r="A79" s="172" t="s">
        <v>160</v>
      </c>
      <c r="B79" s="197" t="s">
        <v>85</v>
      </c>
      <c r="C79" s="170"/>
      <c r="D79" s="246"/>
      <c r="E79" s="187"/>
      <c r="F79" s="137"/>
    </row>
    <row r="80" spans="1:6">
      <c r="A80" s="186"/>
      <c r="B80" s="243" t="s">
        <v>86</v>
      </c>
      <c r="C80" s="184"/>
      <c r="D80" s="245"/>
      <c r="E80" s="182"/>
      <c r="F80" s="138"/>
    </row>
    <row r="81" spans="1:6">
      <c r="A81" s="195"/>
      <c r="B81" s="228" t="s">
        <v>155</v>
      </c>
      <c r="C81" s="193" t="s">
        <v>26</v>
      </c>
      <c r="D81" s="192">
        <f>1.2*2*3</f>
        <v>7.1999999999999993</v>
      </c>
      <c r="E81" s="191"/>
      <c r="F81" s="130">
        <f>D81*E81</f>
        <v>0</v>
      </c>
    </row>
    <row r="82" spans="1:6" ht="9.9" customHeight="1">
      <c r="A82" s="139"/>
      <c r="B82" s="139"/>
      <c r="C82" s="139"/>
      <c r="D82" s="139"/>
      <c r="E82" s="139"/>
      <c r="F82" s="139"/>
    </row>
    <row r="83" spans="1:6" ht="20.100000000000001" customHeight="1" thickBot="1">
      <c r="A83" s="341" t="s">
        <v>74</v>
      </c>
      <c r="B83" s="342"/>
      <c r="C83" s="342"/>
      <c r="D83" s="342"/>
      <c r="E83" s="343"/>
      <c r="F83" s="140">
        <f>SUM(F73:F81)</f>
        <v>0</v>
      </c>
    </row>
    <row r="84" spans="1:6" ht="9.9" customHeight="1" thickTop="1" thickBot="1">
      <c r="A84" s="141"/>
      <c r="B84" s="141"/>
      <c r="C84" s="141"/>
      <c r="D84" s="141"/>
      <c r="E84" s="141"/>
      <c r="F84" s="141"/>
    </row>
    <row r="85" spans="1:6" ht="19.5" customHeight="1" thickTop="1" thickBot="1">
      <c r="A85" s="159" t="s">
        <v>36</v>
      </c>
      <c r="B85" s="323" t="s">
        <v>75</v>
      </c>
      <c r="C85" s="324"/>
      <c r="D85" s="324"/>
      <c r="E85" s="324"/>
      <c r="F85" s="345"/>
    </row>
    <row r="86" spans="1:6" ht="40.200000000000003" thickTop="1">
      <c r="A86" s="186" t="s">
        <v>33</v>
      </c>
      <c r="B86" s="176" t="s">
        <v>169</v>
      </c>
      <c r="C86" s="244"/>
      <c r="D86" s="244"/>
      <c r="E86" s="244"/>
      <c r="F86" s="142"/>
    </row>
    <row r="87" spans="1:6" ht="52.8">
      <c r="A87" s="224"/>
      <c r="B87" s="243" t="s">
        <v>87</v>
      </c>
      <c r="C87" s="242"/>
      <c r="D87" s="242"/>
      <c r="E87" s="242"/>
      <c r="F87" s="143"/>
    </row>
    <row r="88" spans="1:6" ht="92.4">
      <c r="A88" s="224"/>
      <c r="B88" s="243" t="s">
        <v>88</v>
      </c>
      <c r="C88" s="242"/>
      <c r="D88" s="242"/>
      <c r="E88" s="242"/>
      <c r="F88" s="143"/>
    </row>
    <row r="89" spans="1:6" ht="66">
      <c r="A89" s="224"/>
      <c r="B89" s="243" t="s">
        <v>167</v>
      </c>
      <c r="C89" s="242"/>
      <c r="D89" s="242"/>
      <c r="E89" s="242"/>
      <c r="F89" s="143"/>
    </row>
    <row r="90" spans="1:6" ht="171.6">
      <c r="A90" s="224"/>
      <c r="B90" s="243" t="s">
        <v>168</v>
      </c>
      <c r="C90" s="242"/>
      <c r="D90" s="242"/>
      <c r="E90" s="242"/>
      <c r="F90" s="143"/>
    </row>
    <row r="91" spans="1:6" ht="26.4">
      <c r="A91" s="224"/>
      <c r="B91" s="243" t="s">
        <v>89</v>
      </c>
      <c r="C91" s="242"/>
      <c r="D91" s="242"/>
      <c r="E91" s="242"/>
      <c r="F91" s="143"/>
    </row>
    <row r="92" spans="1:6" ht="12.75" customHeight="1">
      <c r="A92" s="241"/>
      <c r="B92" s="240" t="s">
        <v>93</v>
      </c>
      <c r="C92" s="239" t="s">
        <v>77</v>
      </c>
      <c r="D92" s="238">
        <f>635.5/2</f>
        <v>317.75</v>
      </c>
      <c r="E92" s="237"/>
      <c r="F92" s="128">
        <f>D92*E92</f>
        <v>0</v>
      </c>
    </row>
    <row r="93" spans="1:6" ht="9.9" customHeight="1">
      <c r="A93" s="145"/>
      <c r="B93" s="145"/>
      <c r="C93" s="145"/>
      <c r="D93" s="145"/>
      <c r="E93" s="145"/>
      <c r="F93" s="145"/>
    </row>
    <row r="94" spans="1:6" ht="19.5" customHeight="1" thickBot="1">
      <c r="A94" s="341" t="s">
        <v>76</v>
      </c>
      <c r="B94" s="342"/>
      <c r="C94" s="342"/>
      <c r="D94" s="342"/>
      <c r="E94" s="343"/>
      <c r="F94" s="140">
        <f>SUM(F91:F92)</f>
        <v>0</v>
      </c>
    </row>
    <row r="95" spans="1:6" ht="9.9" customHeight="1" thickTop="1" thickBot="1">
      <c r="A95" s="141"/>
      <c r="B95" s="141"/>
      <c r="C95" s="141"/>
      <c r="D95" s="141"/>
      <c r="E95" s="141"/>
      <c r="F95" s="141"/>
    </row>
    <row r="96" spans="1:6" ht="19.5" customHeight="1" thickTop="1" thickBot="1">
      <c r="A96" s="159" t="s">
        <v>62</v>
      </c>
      <c r="B96" s="323" t="s">
        <v>132</v>
      </c>
      <c r="C96" s="324"/>
      <c r="D96" s="324"/>
      <c r="E96" s="324"/>
      <c r="F96" s="345"/>
    </row>
    <row r="97" spans="1:6" ht="66.599999999999994" thickTop="1">
      <c r="A97" s="186" t="s">
        <v>63</v>
      </c>
      <c r="B97" s="236" t="s">
        <v>136</v>
      </c>
      <c r="C97" s="235"/>
      <c r="D97" s="234"/>
      <c r="E97" s="234"/>
      <c r="F97" s="146"/>
    </row>
    <row r="98" spans="1:6" ht="171.6">
      <c r="A98" s="224"/>
      <c r="B98" s="236" t="s">
        <v>137</v>
      </c>
      <c r="C98" s="235"/>
      <c r="D98" s="234"/>
      <c r="E98" s="234"/>
      <c r="F98" s="146"/>
    </row>
    <row r="99" spans="1:6" ht="26.4">
      <c r="A99" s="224"/>
      <c r="B99" s="236" t="s">
        <v>138</v>
      </c>
      <c r="C99" s="235"/>
      <c r="D99" s="234"/>
      <c r="E99" s="234"/>
      <c r="F99" s="146"/>
    </row>
    <row r="100" spans="1:6" ht="26.4">
      <c r="A100" s="224"/>
      <c r="B100" s="236" t="s">
        <v>134</v>
      </c>
      <c r="C100" s="235"/>
      <c r="D100" s="234"/>
      <c r="E100" s="234"/>
      <c r="F100" s="146"/>
    </row>
    <row r="101" spans="1:6" ht="118.8">
      <c r="A101" s="224"/>
      <c r="B101" s="236" t="s">
        <v>139</v>
      </c>
      <c r="C101" s="235"/>
      <c r="D101" s="234"/>
      <c r="E101" s="234"/>
      <c r="F101" s="146"/>
    </row>
    <row r="102" spans="1:6" ht="105.6">
      <c r="A102" s="224"/>
      <c r="B102" s="236" t="s">
        <v>140</v>
      </c>
      <c r="C102" s="235"/>
      <c r="D102" s="234"/>
      <c r="E102" s="234"/>
      <c r="F102" s="147"/>
    </row>
    <row r="103" spans="1:6" ht="52.8">
      <c r="A103" s="224"/>
      <c r="B103" s="223" t="s">
        <v>141</v>
      </c>
      <c r="C103" s="233"/>
      <c r="D103" s="232"/>
      <c r="E103" s="223"/>
      <c r="F103" s="148"/>
    </row>
    <row r="104" spans="1:6" ht="12.75" customHeight="1">
      <c r="A104" s="181"/>
      <c r="B104" s="206" t="s">
        <v>142</v>
      </c>
      <c r="C104" s="179" t="s">
        <v>135</v>
      </c>
      <c r="D104" s="178">
        <v>31.8</v>
      </c>
      <c r="E104" s="168"/>
      <c r="F104" s="128">
        <f>D104*E104</f>
        <v>0</v>
      </c>
    </row>
    <row r="105" spans="1:6" ht="12.75" customHeight="1">
      <c r="A105" s="231"/>
      <c r="B105" s="230" t="s">
        <v>143</v>
      </c>
      <c r="C105" s="229"/>
      <c r="D105" s="229"/>
      <c r="E105" s="229"/>
      <c r="F105" s="129"/>
    </row>
    <row r="106" spans="1:6" ht="12.75" customHeight="1">
      <c r="A106" s="195"/>
      <c r="B106" s="228" t="s">
        <v>151</v>
      </c>
      <c r="C106" s="193" t="s">
        <v>135</v>
      </c>
      <c r="D106" s="192">
        <f>0.4*(5.9+5.27)*2</f>
        <v>8.9359999999999999</v>
      </c>
      <c r="E106" s="191"/>
      <c r="F106" s="130">
        <f>D106*E106</f>
        <v>0</v>
      </c>
    </row>
    <row r="107" spans="1:6" ht="92.4">
      <c r="A107" s="186" t="s">
        <v>64</v>
      </c>
      <c r="B107" s="223" t="s">
        <v>146</v>
      </c>
      <c r="C107" s="222"/>
      <c r="D107" s="222"/>
      <c r="E107" s="222"/>
      <c r="F107" s="149"/>
    </row>
    <row r="108" spans="1:6" ht="66">
      <c r="A108" s="224"/>
      <c r="B108" s="227" t="s">
        <v>144</v>
      </c>
      <c r="C108" s="222"/>
      <c r="D108" s="222"/>
      <c r="E108" s="222"/>
      <c r="F108" s="149"/>
    </row>
    <row r="109" spans="1:6" ht="66">
      <c r="A109" s="224"/>
      <c r="B109" s="226" t="s">
        <v>147</v>
      </c>
      <c r="C109" s="222"/>
      <c r="D109" s="222"/>
      <c r="E109" s="222"/>
      <c r="F109" s="149"/>
    </row>
    <row r="110" spans="1:6" ht="12.75" customHeight="1">
      <c r="A110" s="195"/>
      <c r="B110" s="221" t="s">
        <v>145</v>
      </c>
      <c r="C110" s="193" t="s">
        <v>26</v>
      </c>
      <c r="D110" s="192">
        <v>5.27</v>
      </c>
      <c r="E110" s="191"/>
      <c r="F110" s="130">
        <f>D110*E110</f>
        <v>0</v>
      </c>
    </row>
    <row r="111" spans="1:6" ht="52.8">
      <c r="A111" s="186" t="s">
        <v>156</v>
      </c>
      <c r="B111" s="225" t="s">
        <v>152</v>
      </c>
      <c r="C111" s="184"/>
      <c r="D111" s="190"/>
      <c r="E111" s="182"/>
      <c r="F111" s="138"/>
    </row>
    <row r="112" spans="1:6" ht="66">
      <c r="A112" s="186"/>
      <c r="B112" s="223" t="s">
        <v>153</v>
      </c>
      <c r="C112" s="184"/>
      <c r="D112" s="190"/>
      <c r="E112" s="182"/>
      <c r="F112" s="138"/>
    </row>
    <row r="113" spans="1:6" ht="12.75" customHeight="1">
      <c r="A113" s="195"/>
      <c r="B113" s="221" t="s">
        <v>145</v>
      </c>
      <c r="C113" s="193" t="s">
        <v>26</v>
      </c>
      <c r="D113" s="192">
        <v>5.27</v>
      </c>
      <c r="E113" s="191"/>
      <c r="F113" s="130">
        <f>D113*E113</f>
        <v>0</v>
      </c>
    </row>
    <row r="114" spans="1:6" ht="79.2">
      <c r="A114" s="186" t="s">
        <v>161</v>
      </c>
      <c r="B114" s="223" t="s">
        <v>148</v>
      </c>
      <c r="C114" s="222"/>
      <c r="D114" s="222"/>
      <c r="E114" s="222"/>
      <c r="F114" s="149"/>
    </row>
    <row r="115" spans="1:6" ht="79.2">
      <c r="A115" s="224"/>
      <c r="B115" s="223" t="s">
        <v>149</v>
      </c>
      <c r="C115" s="222"/>
      <c r="D115" s="222"/>
      <c r="E115" s="222"/>
      <c r="F115" s="149"/>
    </row>
    <row r="116" spans="1:6" ht="52.8">
      <c r="A116" s="224"/>
      <c r="B116" s="223" t="s">
        <v>150</v>
      </c>
      <c r="C116" s="222"/>
      <c r="D116" s="222"/>
      <c r="E116" s="222"/>
      <c r="F116" s="149"/>
    </row>
    <row r="117" spans="1:6" ht="12.75" customHeight="1">
      <c r="A117" s="195"/>
      <c r="B117" s="221" t="s">
        <v>145</v>
      </c>
      <c r="C117" s="193" t="s">
        <v>26</v>
      </c>
      <c r="D117" s="192">
        <v>2.76</v>
      </c>
      <c r="E117" s="191"/>
      <c r="F117" s="130">
        <f>D117*E117</f>
        <v>0</v>
      </c>
    </row>
    <row r="118" spans="1:6" ht="10.5" customHeight="1">
      <c r="A118" s="217"/>
      <c r="B118" s="218"/>
      <c r="C118" s="218"/>
      <c r="D118" s="218"/>
      <c r="E118" s="218"/>
      <c r="F118" s="150"/>
    </row>
    <row r="119" spans="1:6" ht="18.75" customHeight="1" thickBot="1">
      <c r="A119" s="341" t="s">
        <v>133</v>
      </c>
      <c r="B119" s="342"/>
      <c r="C119" s="342"/>
      <c r="D119" s="342"/>
      <c r="E119" s="343"/>
      <c r="F119" s="140">
        <f>SUM(F97:F117)</f>
        <v>0</v>
      </c>
    </row>
    <row r="120" spans="1:6" ht="10.5" customHeight="1" thickTop="1" thickBot="1">
      <c r="A120" s="141"/>
      <c r="B120" s="141"/>
      <c r="C120" s="141"/>
      <c r="D120" s="141"/>
      <c r="E120" s="141"/>
      <c r="F120" s="141"/>
    </row>
    <row r="121" spans="1:6" ht="18" customHeight="1" thickTop="1" thickBot="1">
      <c r="A121" s="159" t="s">
        <v>55</v>
      </c>
      <c r="B121" s="323" t="s">
        <v>57</v>
      </c>
      <c r="C121" s="324"/>
      <c r="D121" s="324"/>
      <c r="E121" s="324"/>
      <c r="F121" s="345"/>
    </row>
    <row r="122" spans="1:6" ht="53.4" thickTop="1">
      <c r="A122" s="177" t="s">
        <v>56</v>
      </c>
      <c r="B122" s="220" t="s">
        <v>84</v>
      </c>
      <c r="C122" s="219"/>
      <c r="D122" s="219"/>
      <c r="E122" s="219"/>
      <c r="F122" s="151"/>
    </row>
    <row r="123" spans="1:6" ht="12.75" customHeight="1">
      <c r="A123" s="217"/>
      <c r="B123" s="218" t="s">
        <v>58</v>
      </c>
      <c r="C123" s="218"/>
      <c r="D123" s="218"/>
      <c r="E123" s="218"/>
      <c r="F123" s="150"/>
    </row>
    <row r="124" spans="1:6" ht="12.75" customHeight="1">
      <c r="A124" s="214"/>
      <c r="B124" s="213" t="s">
        <v>59</v>
      </c>
      <c r="C124" s="213"/>
      <c r="D124" s="213"/>
      <c r="E124" s="213"/>
      <c r="F124" s="152"/>
    </row>
    <row r="125" spans="1:6" ht="12.75" customHeight="1">
      <c r="A125" s="217"/>
      <c r="B125" s="216" t="s">
        <v>166</v>
      </c>
      <c r="C125" s="193" t="s">
        <v>13</v>
      </c>
      <c r="D125" s="215">
        <f>(2.7+3.4)/2*20.2+12.6*17.4</f>
        <v>280.84999999999997</v>
      </c>
      <c r="E125" s="210"/>
      <c r="F125" s="130">
        <f>D125*E125</f>
        <v>0</v>
      </c>
    </row>
    <row r="126" spans="1:6" ht="12.75" customHeight="1">
      <c r="A126" s="214"/>
      <c r="B126" s="213" t="s">
        <v>60</v>
      </c>
      <c r="C126" s="170"/>
      <c r="D126" s="170"/>
      <c r="E126" s="208"/>
      <c r="F126" s="137"/>
    </row>
    <row r="127" spans="1:6" ht="12.75" customHeight="1">
      <c r="A127" s="207"/>
      <c r="B127" s="212" t="s">
        <v>130</v>
      </c>
      <c r="C127" s="184" t="s">
        <v>13</v>
      </c>
      <c r="D127" s="211">
        <f>25.41+8.9</f>
        <v>34.31</v>
      </c>
      <c r="E127" s="210"/>
      <c r="F127" s="138">
        <f>D127*E127</f>
        <v>0</v>
      </c>
    </row>
    <row r="128" spans="1:6" ht="39.6">
      <c r="A128" s="172" t="s">
        <v>157</v>
      </c>
      <c r="B128" s="209" t="s">
        <v>78</v>
      </c>
      <c r="C128" s="170"/>
      <c r="D128" s="170"/>
      <c r="E128" s="208"/>
      <c r="F128" s="137"/>
    </row>
    <row r="129" spans="1:6" ht="26.4">
      <c r="A129" s="207"/>
      <c r="B129" s="204" t="s">
        <v>79</v>
      </c>
      <c r="C129" s="184"/>
      <c r="D129" s="184"/>
      <c r="E129" s="201"/>
      <c r="F129" s="138"/>
    </row>
    <row r="130" spans="1:6" ht="12.75" customHeight="1">
      <c r="A130" s="207"/>
      <c r="B130" s="202" t="s">
        <v>80</v>
      </c>
      <c r="C130" s="184"/>
      <c r="D130" s="184"/>
      <c r="E130" s="201"/>
      <c r="F130" s="138"/>
    </row>
    <row r="131" spans="1:6" ht="12.75" customHeight="1">
      <c r="A131" s="200"/>
      <c r="B131" s="206" t="s">
        <v>129</v>
      </c>
      <c r="C131" s="179" t="s">
        <v>26</v>
      </c>
      <c r="D131" s="178">
        <f>(1.31+2.1*2)*4</f>
        <v>22.04</v>
      </c>
      <c r="E131" s="205"/>
      <c r="F131" s="128">
        <f>D131*E131</f>
        <v>0</v>
      </c>
    </row>
    <row r="132" spans="1:6" ht="66">
      <c r="A132" s="186" t="s">
        <v>162</v>
      </c>
      <c r="B132" s="204" t="s">
        <v>81</v>
      </c>
      <c r="C132" s="202"/>
      <c r="D132" s="202"/>
      <c r="E132" s="201"/>
      <c r="F132" s="153"/>
    </row>
    <row r="133" spans="1:6">
      <c r="A133" s="203"/>
      <c r="B133" s="202" t="s">
        <v>58</v>
      </c>
      <c r="C133" s="202"/>
      <c r="D133" s="202"/>
      <c r="E133" s="201"/>
      <c r="F133" s="153"/>
    </row>
    <row r="134" spans="1:6">
      <c r="A134" s="200"/>
      <c r="B134" s="180" t="s">
        <v>131</v>
      </c>
      <c r="C134" s="179" t="s">
        <v>13</v>
      </c>
      <c r="D134" s="199">
        <f>2.4*2.2*2.4*4.4*2</f>
        <v>111.51360000000001</v>
      </c>
      <c r="E134" s="198"/>
      <c r="F134" s="128">
        <f>D134*E134</f>
        <v>0</v>
      </c>
    </row>
    <row r="135" spans="1:6" ht="9" customHeight="1">
      <c r="A135" s="145"/>
      <c r="B135" s="145"/>
      <c r="C135" s="145"/>
      <c r="D135" s="145"/>
      <c r="E135" s="145"/>
      <c r="F135" s="145"/>
    </row>
    <row r="136" spans="1:6" ht="19.5" customHeight="1" thickBot="1">
      <c r="A136" s="341" t="s">
        <v>37</v>
      </c>
      <c r="B136" s="342"/>
      <c r="C136" s="342"/>
      <c r="D136" s="342"/>
      <c r="E136" s="343"/>
      <c r="F136" s="140">
        <f>SUM(F123:F135)</f>
        <v>0</v>
      </c>
    </row>
    <row r="137" spans="1:6" ht="9.9" customHeight="1" thickTop="1" thickBot="1">
      <c r="A137" s="141"/>
      <c r="B137" s="141"/>
      <c r="C137" s="141"/>
      <c r="D137" s="141"/>
      <c r="E137" s="141"/>
      <c r="F137" s="141"/>
    </row>
    <row r="138" spans="1:6" ht="20.100000000000001" customHeight="1" thickTop="1" thickBot="1">
      <c r="A138" s="159" t="s">
        <v>158</v>
      </c>
      <c r="B138" s="323" t="s">
        <v>42</v>
      </c>
      <c r="C138" s="324"/>
      <c r="D138" s="324"/>
      <c r="E138" s="324"/>
      <c r="F138" s="345"/>
    </row>
    <row r="139" spans="1:6" ht="93" thickTop="1">
      <c r="A139" s="172" t="s">
        <v>159</v>
      </c>
      <c r="B139" s="197" t="s">
        <v>54</v>
      </c>
      <c r="C139" s="170"/>
      <c r="D139" s="196"/>
      <c r="E139" s="187"/>
      <c r="F139" s="137"/>
    </row>
    <row r="140" spans="1:6" ht="38.25" customHeight="1">
      <c r="A140" s="195"/>
      <c r="B140" s="194" t="s">
        <v>53</v>
      </c>
      <c r="C140" s="193"/>
      <c r="D140" s="192"/>
      <c r="E140" s="191"/>
      <c r="F140" s="130"/>
    </row>
    <row r="141" spans="1:6">
      <c r="A141" s="186"/>
      <c r="B141" s="185" t="s">
        <v>122</v>
      </c>
      <c r="C141" s="170" t="s">
        <v>13</v>
      </c>
      <c r="D141" s="190">
        <f>0.8*1.8</f>
        <v>1.4400000000000002</v>
      </c>
      <c r="E141" s="182"/>
      <c r="F141" s="138">
        <f>D141*E141</f>
        <v>0</v>
      </c>
    </row>
    <row r="142" spans="1:6" ht="51" customHeight="1">
      <c r="A142" s="172" t="s">
        <v>163</v>
      </c>
      <c r="B142" s="189" t="s">
        <v>82</v>
      </c>
      <c r="C142" s="170"/>
      <c r="D142" s="188"/>
      <c r="E142" s="187"/>
      <c r="F142" s="137"/>
    </row>
    <row r="143" spans="1:6">
      <c r="A143" s="186"/>
      <c r="B143" s="185" t="s">
        <v>61</v>
      </c>
      <c r="C143" s="184"/>
      <c r="D143" s="183"/>
      <c r="E143" s="182"/>
      <c r="F143" s="138"/>
    </row>
    <row r="144" spans="1:6">
      <c r="A144" s="181"/>
      <c r="B144" s="180" t="s">
        <v>154</v>
      </c>
      <c r="C144" s="179" t="s">
        <v>13</v>
      </c>
      <c r="D144" s="178">
        <f>(2.7+3.4)/2*(5.15*2+5.75*2)</f>
        <v>66.489999999999995</v>
      </c>
      <c r="E144" s="168"/>
      <c r="F144" s="128">
        <f>D144*E144</f>
        <v>0</v>
      </c>
    </row>
    <row r="145" spans="1:6" ht="9.9" customHeight="1">
      <c r="A145" s="139"/>
      <c r="B145" s="139"/>
      <c r="C145" s="139"/>
      <c r="D145" s="139"/>
      <c r="E145" s="139"/>
      <c r="F145" s="139"/>
    </row>
    <row r="146" spans="1:6" ht="20.100000000000001" customHeight="1" thickBot="1">
      <c r="A146" s="341" t="s">
        <v>65</v>
      </c>
      <c r="B146" s="342"/>
      <c r="C146" s="342"/>
      <c r="D146" s="342"/>
      <c r="E146" s="343"/>
      <c r="F146" s="140">
        <f>SUM(F139:F144)</f>
        <v>0</v>
      </c>
    </row>
    <row r="147" spans="1:6" ht="9.9" customHeight="1" thickTop="1" thickBot="1">
      <c r="A147" s="141"/>
      <c r="B147" s="141"/>
      <c r="C147" s="141"/>
      <c r="D147" s="141"/>
      <c r="E147" s="141"/>
      <c r="F147" s="141"/>
    </row>
    <row r="148" spans="1:6" ht="20.100000000000001" customHeight="1" thickTop="1" thickBot="1">
      <c r="A148" s="159" t="s">
        <v>164</v>
      </c>
      <c r="B148" s="323" t="s">
        <v>22</v>
      </c>
      <c r="C148" s="348"/>
      <c r="D148" s="348"/>
      <c r="E148" s="348"/>
      <c r="F148" s="349"/>
    </row>
    <row r="149" spans="1:6" ht="27" thickTop="1">
      <c r="A149" s="177" t="s">
        <v>165</v>
      </c>
      <c r="B149" s="176" t="s">
        <v>83</v>
      </c>
      <c r="C149" s="175"/>
      <c r="D149" s="174"/>
      <c r="E149" s="173"/>
      <c r="F149" s="154"/>
    </row>
    <row r="150" spans="1:6">
      <c r="A150" s="172"/>
      <c r="B150" s="171" t="s">
        <v>31</v>
      </c>
      <c r="C150" s="170" t="s">
        <v>13</v>
      </c>
      <c r="D150" s="169">
        <f>29+3.4*2</f>
        <v>35.799999999999997</v>
      </c>
      <c r="E150" s="168"/>
      <c r="F150" s="128">
        <f>D150*E150</f>
        <v>0</v>
      </c>
    </row>
    <row r="151" spans="1:6" ht="9.9" customHeight="1">
      <c r="A151" s="139"/>
      <c r="B151" s="139"/>
      <c r="C151" s="139"/>
      <c r="D151" s="139"/>
      <c r="E151" s="139"/>
      <c r="F151" s="139"/>
    </row>
    <row r="152" spans="1:6" ht="20.100000000000001" customHeight="1" thickBot="1">
      <c r="A152" s="341" t="s">
        <v>38</v>
      </c>
      <c r="B152" s="342"/>
      <c r="C152" s="342"/>
      <c r="D152" s="342"/>
      <c r="E152" s="343"/>
      <c r="F152" s="140">
        <f>SUM(F149:F151)</f>
        <v>0</v>
      </c>
    </row>
    <row r="153" spans="1:6" ht="9.9" customHeight="1" thickTop="1"/>
    <row r="155" spans="1:6" ht="39.75" customHeight="1">
      <c r="A155" s="344" t="s">
        <v>327</v>
      </c>
      <c r="B155" s="344"/>
      <c r="C155" s="344"/>
      <c r="D155" s="344"/>
      <c r="E155" s="344"/>
      <c r="F155" s="344"/>
    </row>
    <row r="156" spans="1:6" ht="13.8" thickBot="1"/>
    <row r="157" spans="1:6" ht="16.8" thickTop="1" thickBot="1">
      <c r="A157" s="350" t="s">
        <v>40</v>
      </c>
      <c r="B157" s="351"/>
      <c r="C157" s="351"/>
      <c r="D157" s="351"/>
      <c r="E157" s="351"/>
      <c r="F157" s="352"/>
    </row>
    <row r="158" spans="1:6" ht="14.4" thickTop="1" thickBot="1"/>
    <row r="159" spans="1:6" ht="20.25" customHeight="1" thickTop="1" thickBot="1">
      <c r="A159" s="159" t="s">
        <v>23</v>
      </c>
      <c r="B159" s="160" t="s">
        <v>24</v>
      </c>
      <c r="C159" s="161"/>
      <c r="D159" s="161"/>
      <c r="E159" s="161"/>
      <c r="F159" s="156"/>
    </row>
    <row r="160" spans="1:6" ht="20.100000000000001" customHeight="1" thickTop="1" thickBot="1">
      <c r="A160" s="159" t="str">
        <f>A9</f>
        <v>01.01.00.</v>
      </c>
      <c r="B160" s="323" t="str">
        <f>B9</f>
        <v>ДЕМОНТАЖНИ РАДОВИ</v>
      </c>
      <c r="C160" s="324"/>
      <c r="D160" s="324"/>
      <c r="E160" s="325"/>
      <c r="F160" s="157">
        <f>F32</f>
        <v>0</v>
      </c>
    </row>
    <row r="161" spans="1:6" ht="20.100000000000001" customHeight="1" thickTop="1" thickBot="1">
      <c r="A161" s="159" t="str">
        <f>A34</f>
        <v>01.02.00.</v>
      </c>
      <c r="B161" s="323" t="str">
        <f>B34</f>
        <v>БЕТОНСКИ РАДОВИ</v>
      </c>
      <c r="C161" s="324"/>
      <c r="D161" s="324"/>
      <c r="E161" s="325"/>
      <c r="F161" s="157">
        <f>F40</f>
        <v>0</v>
      </c>
    </row>
    <row r="162" spans="1:6" ht="20.100000000000001" customHeight="1" thickTop="1" thickBot="1">
      <c r="A162" s="159" t="str">
        <f>A42</f>
        <v>01.03.00.</v>
      </c>
      <c r="B162" s="163" t="str">
        <f>B42</f>
        <v>АРМИРАЧКИ РАДОВИ</v>
      </c>
      <c r="C162" s="164"/>
      <c r="D162" s="164"/>
      <c r="E162" s="165"/>
      <c r="F162" s="157">
        <f>F48</f>
        <v>0</v>
      </c>
    </row>
    <row r="163" spans="1:6" ht="20.100000000000001" customHeight="1" thickTop="1" thickBot="1">
      <c r="A163" s="159" t="str">
        <f>A50</f>
        <v>01.04.00.</v>
      </c>
      <c r="B163" s="163" t="str">
        <f>B50</f>
        <v>ЗИДАРСКИ РАДОВИ</v>
      </c>
      <c r="C163" s="164"/>
      <c r="D163" s="164"/>
      <c r="E163" s="165"/>
      <c r="F163" s="157">
        <f>F70</f>
        <v>0</v>
      </c>
    </row>
    <row r="164" spans="1:6" ht="20.100000000000001" customHeight="1" thickTop="1" thickBot="1">
      <c r="A164" s="159" t="str">
        <f>A72</f>
        <v>01.05.00.</v>
      </c>
      <c r="B164" s="323" t="str">
        <f>B72</f>
        <v>БРАВАРСКИ РАДОВИ</v>
      </c>
      <c r="C164" s="324"/>
      <c r="D164" s="324"/>
      <c r="E164" s="325"/>
      <c r="F164" s="157">
        <f>F83</f>
        <v>0</v>
      </c>
    </row>
    <row r="165" spans="1:6" ht="20.100000000000001" customHeight="1" thickTop="1" thickBot="1">
      <c r="A165" s="159" t="str">
        <f>A85</f>
        <v>01.06.00.</v>
      </c>
      <c r="B165" s="163" t="str">
        <f>B85</f>
        <v>ЧЕЛИЧНА КОНСТРУКЦИЈА</v>
      </c>
      <c r="C165" s="164"/>
      <c r="D165" s="164"/>
      <c r="E165" s="165"/>
      <c r="F165" s="157">
        <f>F94</f>
        <v>0</v>
      </c>
    </row>
    <row r="166" spans="1:6" ht="20.100000000000001" customHeight="1" thickTop="1" thickBot="1">
      <c r="A166" s="159" t="str">
        <f>A96</f>
        <v>01.07.00.</v>
      </c>
      <c r="B166" s="163" t="str">
        <f>B96</f>
        <v>ЛИМАРСКИ РАДОВИ</v>
      </c>
      <c r="C166" s="164"/>
      <c r="D166" s="164"/>
      <c r="E166" s="165"/>
      <c r="F166" s="157">
        <f>+F119</f>
        <v>0</v>
      </c>
    </row>
    <row r="167" spans="1:6" ht="20.100000000000001" customHeight="1" thickTop="1" thickBot="1">
      <c r="A167" s="159" t="str">
        <f>A121</f>
        <v>01.08.00.</v>
      </c>
      <c r="B167" s="163" t="str">
        <f>B121</f>
        <v>МОЛЕРСКО ФАРБАРСКИ РАДОВИ</v>
      </c>
      <c r="C167" s="164"/>
      <c r="D167" s="164"/>
      <c r="E167" s="165"/>
      <c r="F167" s="157">
        <f>F136</f>
        <v>0</v>
      </c>
    </row>
    <row r="168" spans="1:6" ht="20.100000000000001" customHeight="1" thickTop="1" thickBot="1">
      <c r="A168" s="159" t="str">
        <f>A138</f>
        <v>01.09.00.</v>
      </c>
      <c r="B168" s="323" t="str">
        <f>B138</f>
        <v>ФАСАДЕРСКИ РАДОВИ</v>
      </c>
      <c r="C168" s="324"/>
      <c r="D168" s="324"/>
      <c r="E168" s="325"/>
      <c r="F168" s="157">
        <f>F146</f>
        <v>0</v>
      </c>
    </row>
    <row r="169" spans="1:6" ht="20.100000000000001" customHeight="1" thickTop="1" thickBot="1">
      <c r="A169" s="159" t="str">
        <f>A148</f>
        <v>01.10.00.</v>
      </c>
      <c r="B169" s="323" t="str">
        <f>B148</f>
        <v>РАЗНИ РАДОВИ</v>
      </c>
      <c r="C169" s="324"/>
      <c r="D169" s="324"/>
      <c r="E169" s="325"/>
      <c r="F169" s="158">
        <f>F152</f>
        <v>0</v>
      </c>
    </row>
    <row r="170" spans="1:6" ht="20.100000000000001" customHeight="1" thickTop="1" thickBot="1">
      <c r="A170" s="166"/>
      <c r="B170" s="164"/>
      <c r="C170" s="164"/>
      <c r="D170" s="346" t="s">
        <v>41</v>
      </c>
      <c r="E170" s="347"/>
      <c r="F170" s="167">
        <f>SUM(F160:F169)</f>
        <v>0</v>
      </c>
    </row>
    <row r="171" spans="1:6" ht="13.8" thickTop="1"/>
  </sheetData>
  <sheetProtection algorithmName="SHA-512" hashValue="Y/15pdunLceOhpQUXOEgA9fAYOuSetkIXNQpV3Jzg/9XdgiSIGC1b3QJ4Eihv3ynoK3gN1k02B1BlQ/+Mi91iA==" saltValue="OQw6t7VugIhtTgYtIhL8oA==" spinCount="100000" sheet="1" formatCells="0" formatColumns="0" formatRows="0" insertColumns="0" insertRows="0" insertHyperlinks="0" deleteColumns="0" deleteRows="0" sort="0" autoFilter="0" pivotTables="0"/>
  <protectedRanges>
    <protectedRange sqref="E1:E1048576" name="Range1"/>
  </protectedRanges>
  <mergeCells count="34">
    <mergeCell ref="A32:E32"/>
    <mergeCell ref="A70:E70"/>
    <mergeCell ref="B34:F34"/>
    <mergeCell ref="B161:E161"/>
    <mergeCell ref="A146:E146"/>
    <mergeCell ref="B72:F72"/>
    <mergeCell ref="A2:F2"/>
    <mergeCell ref="B9:F9"/>
    <mergeCell ref="A6:A7"/>
    <mergeCell ref="B6:B7"/>
    <mergeCell ref="C6:C7"/>
    <mergeCell ref="A3:F3"/>
    <mergeCell ref="A4:F4"/>
    <mergeCell ref="D170:E170"/>
    <mergeCell ref="A40:E40"/>
    <mergeCell ref="B42:F42"/>
    <mergeCell ref="A119:E119"/>
    <mergeCell ref="B121:F121"/>
    <mergeCell ref="B50:F50"/>
    <mergeCell ref="A48:E48"/>
    <mergeCell ref="B148:F148"/>
    <mergeCell ref="A152:E152"/>
    <mergeCell ref="B164:E164"/>
    <mergeCell ref="A94:E94"/>
    <mergeCell ref="B160:E160"/>
    <mergeCell ref="B96:F96"/>
    <mergeCell ref="A136:E136"/>
    <mergeCell ref="A157:F157"/>
    <mergeCell ref="B169:E169"/>
    <mergeCell ref="A83:E83"/>
    <mergeCell ref="A155:F155"/>
    <mergeCell ref="B138:F138"/>
    <mergeCell ref="B85:F85"/>
    <mergeCell ref="B168:E168"/>
  </mergeCells>
  <pageMargins left="0.90551181102362199" right="0.196850393700787" top="0.39370078740157499" bottom="0.39370078740157499" header="0" footer="0.196850393700787"/>
  <pageSetup paperSize="9" orientation="portrait" r:id="rId1"/>
  <headerFooter>
    <oddFooter xml:space="preserve">&amp;R&amp;"Arial,Regular"&amp;9Страна  &amp;"Arial,Bold"&amp;P&amp;"Arial,Regular"  од  &amp;N  </oddFooter>
  </headerFooter>
  <rowBreaks count="12" manualBreakCount="12">
    <brk id="24" max="16383" man="1"/>
    <brk id="32" max="16383" man="1"/>
    <brk id="40" max="16383" man="1"/>
    <brk id="48" max="16383" man="1"/>
    <brk id="70" max="16383" man="1"/>
    <brk id="83" max="16383" man="1"/>
    <brk id="94" max="16383" man="1"/>
    <brk id="106" max="16383" man="1"/>
    <brk id="119" max="16383" man="1"/>
    <brk id="136" max="16383" man="1"/>
    <brk id="146" max="16383" man="1"/>
    <brk id="15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46C58-D8DF-4A8E-B008-E2BE7FF4B1F8}">
  <dimension ref="A1:G173"/>
  <sheetViews>
    <sheetView showGridLines="0" showZeros="0" view="pageBreakPreview" zoomScale="110" zoomScaleNormal="100" zoomScaleSheetLayoutView="110" workbookViewId="0">
      <selection activeCell="A3" sqref="A3:F3"/>
    </sheetView>
  </sheetViews>
  <sheetFormatPr defaultColWidth="9.109375" defaultRowHeight="13.2"/>
  <cols>
    <col min="1" max="1" width="9.6640625" style="131" customWidth="1"/>
    <col min="2" max="2" width="36.44140625" style="131" customWidth="1"/>
    <col min="3" max="3" width="5.6640625" style="131" customWidth="1"/>
    <col min="4" max="4" width="9.6640625" style="131" customWidth="1"/>
    <col min="5" max="5" width="15.33203125" style="131" customWidth="1"/>
    <col min="6" max="6" width="15.6640625" style="131" customWidth="1"/>
    <col min="7" max="7" width="1.6640625" style="131" customWidth="1"/>
    <col min="8" max="8" width="13.109375" style="162" customWidth="1"/>
    <col min="9" max="16384" width="9.109375" style="162"/>
  </cols>
  <sheetData>
    <row r="1" spans="1:6" ht="7.5" customHeight="1">
      <c r="A1" s="131">
        <v>3</v>
      </c>
    </row>
    <row r="2" spans="1:6" ht="15.6">
      <c r="A2" s="353" t="s">
        <v>0</v>
      </c>
      <c r="B2" s="353"/>
      <c r="C2" s="353"/>
      <c r="D2" s="353"/>
      <c r="E2" s="353"/>
      <c r="F2" s="353"/>
    </row>
    <row r="3" spans="1:6" ht="48" customHeight="1">
      <c r="A3" s="344" t="s">
        <v>328</v>
      </c>
      <c r="B3" s="344"/>
      <c r="C3" s="344"/>
      <c r="D3" s="344"/>
      <c r="E3" s="344"/>
      <c r="F3" s="344"/>
    </row>
    <row r="4" spans="1:6">
      <c r="A4" s="358" t="s">
        <v>39</v>
      </c>
      <c r="B4" s="359"/>
      <c r="C4" s="359"/>
      <c r="D4" s="359"/>
      <c r="E4" s="359"/>
      <c r="F4" s="359"/>
    </row>
    <row r="5" spans="1:6" ht="4.5" customHeight="1" thickBot="1"/>
    <row r="6" spans="1:6" ht="27.6" thickTop="1" thickBot="1">
      <c r="A6" s="354" t="s">
        <v>1</v>
      </c>
      <c r="B6" s="356" t="s">
        <v>4</v>
      </c>
      <c r="C6" s="356" t="s">
        <v>10</v>
      </c>
      <c r="D6" s="273" t="s">
        <v>2</v>
      </c>
      <c r="E6" s="273" t="s">
        <v>5</v>
      </c>
      <c r="F6" s="132" t="s">
        <v>6</v>
      </c>
    </row>
    <row r="7" spans="1:6" ht="14.4" thickTop="1" thickBot="1">
      <c r="A7" s="355"/>
      <c r="B7" s="357"/>
      <c r="C7" s="357"/>
      <c r="D7" s="272" t="s">
        <v>7</v>
      </c>
      <c r="E7" s="272" t="s">
        <v>8</v>
      </c>
      <c r="F7" s="133" t="s">
        <v>9</v>
      </c>
    </row>
    <row r="8" spans="1:6" ht="9.9" customHeight="1" thickTop="1" thickBot="1">
      <c r="A8" s="271"/>
      <c r="B8" s="271"/>
      <c r="C8" s="271"/>
      <c r="D8" s="134"/>
      <c r="E8" s="134"/>
      <c r="F8" s="134"/>
    </row>
    <row r="9" spans="1:6" ht="20.100000000000001" customHeight="1" thickTop="1" thickBot="1">
      <c r="A9" s="159" t="s">
        <v>25</v>
      </c>
      <c r="B9" s="323" t="s">
        <v>12</v>
      </c>
      <c r="C9" s="348"/>
      <c r="D9" s="348"/>
      <c r="E9" s="348"/>
      <c r="F9" s="349"/>
    </row>
    <row r="10" spans="1:6" ht="12.75" customHeight="1" thickTop="1">
      <c r="A10" s="270"/>
      <c r="B10" s="219" t="s">
        <v>45</v>
      </c>
      <c r="C10" s="269"/>
      <c r="D10" s="269"/>
      <c r="E10" s="269"/>
      <c r="F10" s="135"/>
    </row>
    <row r="11" spans="1:6" ht="102" customHeight="1">
      <c r="A11" s="224"/>
      <c r="B11" s="243" t="s">
        <v>46</v>
      </c>
      <c r="C11" s="268"/>
      <c r="D11" s="268"/>
      <c r="E11" s="268"/>
      <c r="F11" s="136"/>
    </row>
    <row r="12" spans="1:6" ht="39.6">
      <c r="A12" s="172" t="s">
        <v>14</v>
      </c>
      <c r="B12" s="197" t="s">
        <v>92</v>
      </c>
      <c r="C12" s="170"/>
      <c r="D12" s="170"/>
      <c r="E12" s="187"/>
      <c r="F12" s="137"/>
    </row>
    <row r="13" spans="1:6" ht="39.6">
      <c r="A13" s="186"/>
      <c r="B13" s="225" t="s">
        <v>66</v>
      </c>
      <c r="C13" s="184"/>
      <c r="D13" s="184"/>
      <c r="E13" s="182"/>
      <c r="F13" s="138"/>
    </row>
    <row r="14" spans="1:6">
      <c r="A14" s="181"/>
      <c r="B14" s="267" t="s">
        <v>185</v>
      </c>
      <c r="C14" s="179" t="s">
        <v>3</v>
      </c>
      <c r="D14" s="179">
        <v>1</v>
      </c>
      <c r="E14" s="168"/>
      <c r="F14" s="128">
        <f>D14*E14</f>
        <v>0</v>
      </c>
    </row>
    <row r="15" spans="1:6" ht="66">
      <c r="A15" s="172" t="s">
        <v>15</v>
      </c>
      <c r="B15" s="197" t="s">
        <v>170</v>
      </c>
      <c r="C15" s="170"/>
      <c r="D15" s="170"/>
      <c r="E15" s="187"/>
      <c r="F15" s="137"/>
    </row>
    <row r="16" spans="1:6" ht="26.4">
      <c r="A16" s="186"/>
      <c r="B16" s="243" t="s">
        <v>67</v>
      </c>
      <c r="C16" s="184"/>
      <c r="D16" s="184"/>
      <c r="E16" s="182"/>
      <c r="F16" s="138"/>
    </row>
    <row r="17" spans="1:6">
      <c r="A17" s="181"/>
      <c r="B17" s="171" t="s">
        <v>184</v>
      </c>
      <c r="C17" s="179" t="s">
        <v>3</v>
      </c>
      <c r="D17" s="179">
        <v>1</v>
      </c>
      <c r="E17" s="168"/>
      <c r="F17" s="128">
        <f>D17*E17</f>
        <v>0</v>
      </c>
    </row>
    <row r="18" spans="1:6">
      <c r="A18" s="181"/>
      <c r="B18" s="171" t="s">
        <v>183</v>
      </c>
      <c r="C18" s="179" t="s">
        <v>3</v>
      </c>
      <c r="D18" s="179">
        <v>1</v>
      </c>
      <c r="E18" s="168"/>
      <c r="F18" s="128">
        <f>D18*E18</f>
        <v>0</v>
      </c>
    </row>
    <row r="19" spans="1:6" ht="66">
      <c r="A19" s="172" t="s">
        <v>16</v>
      </c>
      <c r="B19" s="189" t="s">
        <v>103</v>
      </c>
      <c r="C19" s="170"/>
      <c r="D19" s="266"/>
      <c r="E19" s="187"/>
      <c r="F19" s="137"/>
    </row>
    <row r="20" spans="1:6" ht="26.4">
      <c r="A20" s="195"/>
      <c r="B20" s="228" t="s">
        <v>69</v>
      </c>
      <c r="C20" s="193"/>
      <c r="D20" s="265"/>
      <c r="E20" s="191"/>
      <c r="F20" s="130"/>
    </row>
    <row r="21" spans="1:6">
      <c r="A21" s="181"/>
      <c r="B21" s="261" t="s">
        <v>104</v>
      </c>
      <c r="C21" s="179" t="s">
        <v>70</v>
      </c>
      <c r="D21" s="276">
        <f>0.5*(0.6*0.6*2+1.95*0.6)</f>
        <v>0.94499999999999995</v>
      </c>
      <c r="E21" s="168"/>
      <c r="F21" s="128">
        <f>D21*E21</f>
        <v>0</v>
      </c>
    </row>
    <row r="22" spans="1:6" ht="26.4">
      <c r="A22" s="172" t="s">
        <v>17</v>
      </c>
      <c r="B22" s="234" t="s">
        <v>106</v>
      </c>
      <c r="C22" s="170"/>
      <c r="D22" s="170"/>
      <c r="E22" s="187"/>
      <c r="F22" s="137"/>
    </row>
    <row r="23" spans="1:6" ht="52.8">
      <c r="A23" s="186"/>
      <c r="B23" s="264" t="s">
        <v>105</v>
      </c>
      <c r="C23" s="184"/>
      <c r="D23" s="184"/>
      <c r="E23" s="182"/>
      <c r="F23" s="138"/>
    </row>
    <row r="24" spans="1:6" ht="26.4">
      <c r="A24" s="195"/>
      <c r="B24" s="228" t="s">
        <v>68</v>
      </c>
      <c r="C24" s="193" t="s">
        <v>13</v>
      </c>
      <c r="D24" s="249">
        <f>3.9*6.9</f>
        <v>26.91</v>
      </c>
      <c r="E24" s="191"/>
      <c r="F24" s="130">
        <f>D24*E24</f>
        <v>0</v>
      </c>
    </row>
    <row r="25" spans="1:6" ht="26.4">
      <c r="A25" s="172" t="s">
        <v>18</v>
      </c>
      <c r="B25" s="263" t="s">
        <v>107</v>
      </c>
      <c r="C25" s="170"/>
      <c r="D25" s="251"/>
      <c r="E25" s="187"/>
      <c r="F25" s="137"/>
    </row>
    <row r="26" spans="1:6" ht="52.8">
      <c r="A26" s="186"/>
      <c r="B26" s="262" t="s">
        <v>108</v>
      </c>
      <c r="C26" s="184"/>
      <c r="D26" s="250"/>
      <c r="E26" s="182"/>
      <c r="F26" s="138"/>
    </row>
    <row r="27" spans="1:6" ht="26.4">
      <c r="A27" s="195"/>
      <c r="B27" s="228" t="s">
        <v>68</v>
      </c>
      <c r="C27" s="193" t="s">
        <v>13</v>
      </c>
      <c r="D27" s="249">
        <f>3.9*6.9</f>
        <v>26.91</v>
      </c>
      <c r="E27" s="191"/>
      <c r="F27" s="130">
        <f>D27*E27</f>
        <v>0</v>
      </c>
    </row>
    <row r="28" spans="1:6" ht="26.4">
      <c r="A28" s="172" t="s">
        <v>94</v>
      </c>
      <c r="B28" s="197" t="s">
        <v>95</v>
      </c>
      <c r="C28" s="170"/>
      <c r="D28" s="170"/>
      <c r="E28" s="187"/>
      <c r="F28" s="137"/>
    </row>
    <row r="29" spans="1:6" ht="52.8">
      <c r="A29" s="186"/>
      <c r="B29" s="243" t="s">
        <v>96</v>
      </c>
      <c r="C29" s="184"/>
      <c r="D29" s="184"/>
      <c r="E29" s="182"/>
      <c r="F29" s="138"/>
    </row>
    <row r="30" spans="1:6" ht="26.4">
      <c r="A30" s="195"/>
      <c r="B30" s="194" t="s">
        <v>68</v>
      </c>
      <c r="C30" s="193" t="s">
        <v>13</v>
      </c>
      <c r="D30" s="249">
        <v>19.100000000000001</v>
      </c>
      <c r="E30" s="191"/>
      <c r="F30" s="130">
        <f>D30*E30</f>
        <v>0</v>
      </c>
    </row>
    <row r="31" spans="1:6" ht="9.9" customHeight="1">
      <c r="A31" s="139"/>
      <c r="B31" s="139"/>
      <c r="C31" s="139"/>
      <c r="D31" s="139"/>
      <c r="E31" s="139"/>
      <c r="F31" s="139"/>
    </row>
    <row r="32" spans="1:6" ht="20.100000000000001" customHeight="1" thickBot="1">
      <c r="A32" s="341" t="s">
        <v>11</v>
      </c>
      <c r="B32" s="342"/>
      <c r="C32" s="342"/>
      <c r="D32" s="342"/>
      <c r="E32" s="343"/>
      <c r="F32" s="140">
        <f>SUM(F12:F31)</f>
        <v>0</v>
      </c>
    </row>
    <row r="33" spans="1:6" ht="9.9" customHeight="1" thickTop="1" thickBot="1">
      <c r="A33" s="141"/>
      <c r="B33" s="141"/>
      <c r="C33" s="141"/>
      <c r="D33" s="141"/>
      <c r="E33" s="141"/>
      <c r="F33" s="141"/>
    </row>
    <row r="34" spans="1:6" ht="20.100000000000001" customHeight="1" thickTop="1" thickBot="1">
      <c r="A34" s="159" t="s">
        <v>29</v>
      </c>
      <c r="B34" s="323" t="s">
        <v>50</v>
      </c>
      <c r="C34" s="348"/>
      <c r="D34" s="348"/>
      <c r="E34" s="348"/>
      <c r="F34" s="349"/>
    </row>
    <row r="35" spans="1:6" ht="53.4" thickTop="1">
      <c r="A35" s="177" t="s">
        <v>20</v>
      </c>
      <c r="B35" s="225" t="s">
        <v>117</v>
      </c>
      <c r="C35" s="244"/>
      <c r="D35" s="244"/>
      <c r="E35" s="244"/>
      <c r="F35" s="142"/>
    </row>
    <row r="36" spans="1:6" ht="26.4">
      <c r="A36" s="259"/>
      <c r="B36" s="225" t="s">
        <v>115</v>
      </c>
      <c r="C36" s="242"/>
      <c r="D36" s="250"/>
      <c r="E36" s="242"/>
      <c r="F36" s="143"/>
    </row>
    <row r="37" spans="1:6">
      <c r="A37" s="259"/>
      <c r="B37" s="225" t="s">
        <v>116</v>
      </c>
      <c r="C37" s="242"/>
      <c r="D37" s="242"/>
      <c r="E37" s="242"/>
      <c r="F37" s="143"/>
    </row>
    <row r="38" spans="1:6" ht="12.75" customHeight="1">
      <c r="A38" s="181"/>
      <c r="B38" s="261" t="s">
        <v>182</v>
      </c>
      <c r="C38" s="179" t="s">
        <v>70</v>
      </c>
      <c r="D38" s="199">
        <f>0.2*0.2*(3.9*2+6.9*2)</f>
        <v>0.86400000000000021</v>
      </c>
      <c r="E38" s="168"/>
      <c r="F38" s="128">
        <f>D38*E38</f>
        <v>0</v>
      </c>
    </row>
    <row r="39" spans="1:6" ht="8.25" customHeight="1">
      <c r="A39" s="256"/>
      <c r="B39" s="255"/>
      <c r="C39" s="144"/>
      <c r="D39" s="144"/>
      <c r="E39" s="144"/>
      <c r="F39" s="144"/>
    </row>
    <row r="40" spans="1:6" ht="19.5" customHeight="1" thickBot="1">
      <c r="A40" s="341" t="s">
        <v>51</v>
      </c>
      <c r="B40" s="342"/>
      <c r="C40" s="342"/>
      <c r="D40" s="342"/>
      <c r="E40" s="343"/>
      <c r="F40" s="140">
        <f>SUM(F38:F39)</f>
        <v>0</v>
      </c>
    </row>
    <row r="41" spans="1:6" ht="9.75" customHeight="1" thickTop="1" thickBot="1">
      <c r="A41" s="141"/>
      <c r="B41" s="141"/>
      <c r="C41" s="141"/>
      <c r="D41" s="141"/>
      <c r="E41" s="141"/>
      <c r="F41" s="141"/>
    </row>
    <row r="42" spans="1:6" ht="16.5" customHeight="1" thickTop="1" thickBot="1">
      <c r="A42" s="159" t="s">
        <v>28</v>
      </c>
      <c r="B42" s="323" t="s">
        <v>110</v>
      </c>
      <c r="C42" s="348"/>
      <c r="D42" s="348"/>
      <c r="E42" s="348"/>
      <c r="F42" s="349"/>
    </row>
    <row r="43" spans="1:6" ht="40.200000000000003" thickTop="1">
      <c r="A43" s="177" t="s">
        <v>27</v>
      </c>
      <c r="B43" s="260" t="s">
        <v>111</v>
      </c>
      <c r="C43" s="242"/>
      <c r="D43" s="242"/>
      <c r="E43" s="242"/>
      <c r="F43" s="143"/>
    </row>
    <row r="44" spans="1:6" ht="39.6">
      <c r="A44" s="259"/>
      <c r="B44" s="258" t="s">
        <v>112</v>
      </c>
      <c r="C44" s="242"/>
      <c r="D44" s="242"/>
      <c r="E44" s="242"/>
      <c r="F44" s="143"/>
    </row>
    <row r="45" spans="1:6" ht="39.6">
      <c r="A45" s="259"/>
      <c r="B45" s="258" t="s">
        <v>113</v>
      </c>
      <c r="C45" s="242"/>
      <c r="D45" s="242"/>
      <c r="E45" s="242"/>
      <c r="F45" s="143"/>
    </row>
    <row r="46" spans="1:6" ht="12.75" customHeight="1">
      <c r="A46" s="257"/>
      <c r="B46" s="221" t="s">
        <v>114</v>
      </c>
      <c r="C46" s="193" t="s">
        <v>77</v>
      </c>
      <c r="D46" s="249">
        <f>0.9*100</f>
        <v>90</v>
      </c>
      <c r="E46" s="191"/>
      <c r="F46" s="130">
        <f>D46*E46</f>
        <v>0</v>
      </c>
    </row>
    <row r="47" spans="1:6" ht="9" customHeight="1">
      <c r="A47" s="256"/>
      <c r="B47" s="255"/>
      <c r="C47" s="144"/>
      <c r="D47" s="144"/>
      <c r="E47" s="144"/>
      <c r="F47" s="144"/>
    </row>
    <row r="48" spans="1:6" ht="20.100000000000001" customHeight="1" thickBot="1">
      <c r="A48" s="341" t="s">
        <v>109</v>
      </c>
      <c r="B48" s="342"/>
      <c r="C48" s="342"/>
      <c r="D48" s="342"/>
      <c r="E48" s="343"/>
      <c r="F48" s="140">
        <f>SUM(F46:F47)</f>
        <v>0</v>
      </c>
    </row>
    <row r="49" spans="1:6" ht="9" customHeight="1" thickTop="1" thickBot="1">
      <c r="A49" s="141"/>
      <c r="B49" s="141"/>
      <c r="C49" s="141"/>
      <c r="D49" s="141"/>
      <c r="E49" s="141"/>
      <c r="F49" s="141"/>
    </row>
    <row r="50" spans="1:6" ht="20.100000000000001" customHeight="1" thickTop="1" thickBot="1">
      <c r="A50" s="159" t="s">
        <v>30</v>
      </c>
      <c r="B50" s="323" t="s">
        <v>19</v>
      </c>
      <c r="C50" s="348"/>
      <c r="D50" s="348"/>
      <c r="E50" s="348"/>
      <c r="F50" s="349"/>
    </row>
    <row r="51" spans="1:6" ht="13.8" thickTop="1">
      <c r="A51" s="177" t="s">
        <v>43</v>
      </c>
      <c r="B51" s="131" t="s">
        <v>119</v>
      </c>
      <c r="C51" s="244"/>
      <c r="D51" s="244"/>
      <c r="E51" s="244"/>
      <c r="F51" s="138"/>
    </row>
    <row r="52" spans="1:6">
      <c r="A52" s="186"/>
      <c r="B52" s="131" t="s">
        <v>120</v>
      </c>
      <c r="C52" s="242"/>
      <c r="D52" s="242"/>
      <c r="E52" s="242"/>
      <c r="F52" s="138"/>
    </row>
    <row r="53" spans="1:6">
      <c r="A53" s="186"/>
      <c r="B53" s="131" t="s">
        <v>121</v>
      </c>
      <c r="C53" s="242"/>
      <c r="D53" s="242"/>
      <c r="E53" s="242"/>
      <c r="F53" s="138"/>
    </row>
    <row r="54" spans="1:6">
      <c r="A54" s="186"/>
      <c r="B54" s="131" t="s">
        <v>31</v>
      </c>
      <c r="C54" s="242"/>
      <c r="D54" s="242"/>
      <c r="E54" s="242"/>
      <c r="F54" s="138"/>
    </row>
    <row r="55" spans="1:6">
      <c r="A55" s="172"/>
      <c r="B55" s="197" t="s">
        <v>47</v>
      </c>
      <c r="C55" s="230"/>
      <c r="D55" s="230"/>
      <c r="E55" s="230"/>
      <c r="F55" s="137"/>
    </row>
    <row r="56" spans="1:6">
      <c r="A56" s="195"/>
      <c r="B56" s="254" t="s">
        <v>172</v>
      </c>
      <c r="C56" s="193" t="s">
        <v>13</v>
      </c>
      <c r="D56" s="253">
        <f>0.8*0.6</f>
        <v>0.48</v>
      </c>
      <c r="E56" s="191"/>
      <c r="F56" s="130">
        <f>D56*E56</f>
        <v>0</v>
      </c>
    </row>
    <row r="57" spans="1:6" ht="66">
      <c r="A57" s="172" t="s">
        <v>44</v>
      </c>
      <c r="B57" s="197" t="s">
        <v>128</v>
      </c>
      <c r="C57" s="170"/>
      <c r="D57" s="251"/>
      <c r="E57" s="187"/>
      <c r="F57" s="137"/>
    </row>
    <row r="58" spans="1:6" ht="39.6">
      <c r="A58" s="186"/>
      <c r="B58" s="243" t="s">
        <v>48</v>
      </c>
      <c r="C58" s="184"/>
      <c r="D58" s="250"/>
      <c r="E58" s="182"/>
      <c r="F58" s="138"/>
    </row>
    <row r="59" spans="1:6">
      <c r="A59" s="195"/>
      <c r="B59" s="194" t="s">
        <v>49</v>
      </c>
      <c r="C59" s="193"/>
      <c r="D59" s="249"/>
      <c r="E59" s="191"/>
      <c r="F59" s="130"/>
    </row>
    <row r="60" spans="1:6">
      <c r="A60" s="181"/>
      <c r="B60" s="254" t="s">
        <v>172</v>
      </c>
      <c r="C60" s="193" t="s">
        <v>13</v>
      </c>
      <c r="D60" s="253">
        <f>(1.31+2.1*2)*8</f>
        <v>44.08</v>
      </c>
      <c r="E60" s="168"/>
      <c r="F60" s="130">
        <f>D60*E60</f>
        <v>0</v>
      </c>
    </row>
    <row r="61" spans="1:6" ht="39.6">
      <c r="A61" s="172" t="s">
        <v>52</v>
      </c>
      <c r="B61" s="189" t="s">
        <v>71</v>
      </c>
      <c r="C61" s="170"/>
      <c r="D61" s="196"/>
      <c r="E61" s="187"/>
      <c r="F61" s="137"/>
    </row>
    <row r="62" spans="1:6">
      <c r="A62" s="186"/>
      <c r="B62" s="243" t="s">
        <v>72</v>
      </c>
      <c r="C62" s="184"/>
      <c r="D62" s="190"/>
      <c r="E62" s="182"/>
      <c r="F62" s="138"/>
    </row>
    <row r="63" spans="1:6">
      <c r="A63" s="181"/>
      <c r="B63" s="206" t="s">
        <v>174</v>
      </c>
      <c r="C63" s="179" t="s">
        <v>26</v>
      </c>
      <c r="D63" s="178">
        <f>(1.31+2.1*2)*4</f>
        <v>22.04</v>
      </c>
      <c r="E63" s="168"/>
      <c r="F63" s="128">
        <f>D63*E63</f>
        <v>0</v>
      </c>
    </row>
    <row r="64" spans="1:6" ht="52.8">
      <c r="A64" s="172" t="s">
        <v>90</v>
      </c>
      <c r="B64" s="189" t="s">
        <v>99</v>
      </c>
      <c r="C64" s="170"/>
      <c r="D64" s="196"/>
      <c r="E64" s="187"/>
      <c r="F64" s="137"/>
    </row>
    <row r="65" spans="1:6">
      <c r="A65" s="186"/>
      <c r="B65" s="185" t="s">
        <v>97</v>
      </c>
      <c r="C65" s="184"/>
      <c r="D65" s="190"/>
      <c r="E65" s="182"/>
      <c r="F65" s="138"/>
    </row>
    <row r="66" spans="1:6">
      <c r="A66" s="186"/>
      <c r="B66" s="252" t="s">
        <v>98</v>
      </c>
      <c r="C66" s="184"/>
      <c r="D66" s="190"/>
      <c r="E66" s="182"/>
      <c r="F66" s="138"/>
    </row>
    <row r="67" spans="1:6" ht="39.6">
      <c r="A67" s="186"/>
      <c r="B67" s="185" t="s">
        <v>91</v>
      </c>
      <c r="C67" s="184"/>
      <c r="D67" s="190"/>
      <c r="E67" s="182"/>
      <c r="F67" s="138"/>
    </row>
    <row r="68" spans="1:6">
      <c r="A68" s="181"/>
      <c r="B68" s="206" t="s">
        <v>31</v>
      </c>
      <c r="C68" s="179" t="s">
        <v>13</v>
      </c>
      <c r="D68" s="178">
        <v>19.059999999999999</v>
      </c>
      <c r="E68" s="168"/>
      <c r="F68" s="128">
        <f>D68*E68</f>
        <v>0</v>
      </c>
    </row>
    <row r="69" spans="1:6" ht="9.9" customHeight="1">
      <c r="A69" s="139"/>
      <c r="B69" s="139"/>
      <c r="C69" s="139"/>
      <c r="D69" s="139"/>
      <c r="E69" s="139"/>
      <c r="F69" s="139"/>
    </row>
    <row r="70" spans="1:6" ht="20.100000000000001" customHeight="1" thickBot="1">
      <c r="A70" s="341" t="s">
        <v>21</v>
      </c>
      <c r="B70" s="342"/>
      <c r="C70" s="342"/>
      <c r="D70" s="342"/>
      <c r="E70" s="343"/>
      <c r="F70" s="140">
        <f>SUM(F56:F68)</f>
        <v>0</v>
      </c>
    </row>
    <row r="71" spans="1:6" ht="9.9" customHeight="1" thickTop="1" thickBot="1">
      <c r="A71" s="141"/>
      <c r="B71" s="141"/>
      <c r="C71" s="141"/>
      <c r="D71" s="141"/>
      <c r="E71" s="141"/>
      <c r="F71" s="141"/>
    </row>
    <row r="72" spans="1:6" ht="20.100000000000001" customHeight="1" thickTop="1" thickBot="1">
      <c r="A72" s="159" t="s">
        <v>35</v>
      </c>
      <c r="B72" s="323" t="s">
        <v>73</v>
      </c>
      <c r="C72" s="348"/>
      <c r="D72" s="348"/>
      <c r="E72" s="348"/>
      <c r="F72" s="349"/>
    </row>
    <row r="73" spans="1:6" ht="79.8" thickTop="1">
      <c r="A73" s="172" t="s">
        <v>32</v>
      </c>
      <c r="B73" s="197" t="s">
        <v>124</v>
      </c>
      <c r="C73" s="170"/>
      <c r="D73" s="251"/>
      <c r="E73" s="187"/>
      <c r="F73" s="137"/>
    </row>
    <row r="74" spans="1:6" ht="79.2">
      <c r="A74" s="186"/>
      <c r="B74" s="243" t="s">
        <v>123</v>
      </c>
      <c r="C74" s="184"/>
      <c r="D74" s="250"/>
      <c r="E74" s="182"/>
      <c r="F74" s="138"/>
    </row>
    <row r="75" spans="1:6" ht="92.4">
      <c r="A75" s="186"/>
      <c r="B75" s="243" t="s">
        <v>125</v>
      </c>
      <c r="C75" s="184"/>
      <c r="D75" s="250"/>
      <c r="E75" s="182"/>
      <c r="F75" s="138"/>
    </row>
    <row r="76" spans="1:6">
      <c r="A76" s="195"/>
      <c r="B76" s="194" t="s">
        <v>34</v>
      </c>
      <c r="C76" s="193"/>
      <c r="D76" s="249"/>
      <c r="E76" s="191"/>
      <c r="F76" s="130"/>
    </row>
    <row r="77" spans="1:6" ht="26.4">
      <c r="A77" s="248"/>
      <c r="B77" s="194" t="s">
        <v>181</v>
      </c>
      <c r="C77" s="179" t="s">
        <v>3</v>
      </c>
      <c r="D77" s="247">
        <v>1</v>
      </c>
      <c r="E77" s="191"/>
      <c r="F77" s="130">
        <f>D77*E77</f>
        <v>0</v>
      </c>
    </row>
    <row r="78" spans="1:6" ht="158.4">
      <c r="A78" s="172" t="s">
        <v>160</v>
      </c>
      <c r="B78" s="197" t="s">
        <v>180</v>
      </c>
      <c r="C78" s="170"/>
      <c r="D78" s="246"/>
      <c r="E78" s="187"/>
      <c r="F78" s="137"/>
    </row>
    <row r="79" spans="1:6" ht="66">
      <c r="A79" s="186"/>
      <c r="B79" s="243" t="s">
        <v>179</v>
      </c>
      <c r="C79" s="184"/>
      <c r="D79" s="245"/>
      <c r="E79" s="182"/>
      <c r="F79" s="138"/>
    </row>
    <row r="80" spans="1:6" ht="79.2">
      <c r="A80" s="186"/>
      <c r="B80" s="243" t="s">
        <v>123</v>
      </c>
      <c r="C80" s="184"/>
      <c r="D80" s="245"/>
      <c r="E80" s="182"/>
      <c r="F80" s="138"/>
    </row>
    <row r="81" spans="1:6" ht="92.4">
      <c r="A81" s="186"/>
      <c r="B81" s="243" t="s">
        <v>125</v>
      </c>
      <c r="C81" s="184"/>
      <c r="D81" s="245"/>
      <c r="E81" s="182"/>
      <c r="F81" s="138"/>
    </row>
    <row r="82" spans="1:6">
      <c r="A82" s="186"/>
      <c r="B82" s="243" t="s">
        <v>34</v>
      </c>
      <c r="C82" s="184"/>
      <c r="D82" s="245"/>
      <c r="E82" s="182"/>
      <c r="F82" s="138"/>
    </row>
    <row r="83" spans="1:6" ht="26.4">
      <c r="A83" s="181"/>
      <c r="B83" s="171" t="s">
        <v>178</v>
      </c>
      <c r="C83" s="179" t="s">
        <v>3</v>
      </c>
      <c r="D83" s="275">
        <v>1</v>
      </c>
      <c r="E83" s="168"/>
      <c r="F83" s="128">
        <f>D83*E83</f>
        <v>0</v>
      </c>
    </row>
    <row r="84" spans="1:6" ht="9.9" customHeight="1">
      <c r="A84" s="139"/>
      <c r="B84" s="139"/>
      <c r="C84" s="139"/>
      <c r="D84" s="139"/>
      <c r="E84" s="139"/>
      <c r="F84" s="139"/>
    </row>
    <row r="85" spans="1:6" ht="20.100000000000001" customHeight="1" thickBot="1">
      <c r="A85" s="341" t="s">
        <v>74</v>
      </c>
      <c r="B85" s="342"/>
      <c r="C85" s="342"/>
      <c r="D85" s="342"/>
      <c r="E85" s="343"/>
      <c r="F85" s="140">
        <f>SUM(F73:F83)</f>
        <v>0</v>
      </c>
    </row>
    <row r="86" spans="1:6" ht="9.9" customHeight="1" thickTop="1" thickBot="1">
      <c r="A86" s="141"/>
      <c r="B86" s="141"/>
      <c r="C86" s="141"/>
      <c r="D86" s="141"/>
      <c r="E86" s="141"/>
      <c r="F86" s="141"/>
    </row>
    <row r="87" spans="1:6" ht="19.5" customHeight="1" thickTop="1" thickBot="1">
      <c r="A87" s="159" t="s">
        <v>36</v>
      </c>
      <c r="B87" s="323" t="s">
        <v>75</v>
      </c>
      <c r="C87" s="324"/>
      <c r="D87" s="324"/>
      <c r="E87" s="324"/>
      <c r="F87" s="345"/>
    </row>
    <row r="88" spans="1:6" ht="40.200000000000003" thickTop="1">
      <c r="A88" s="186" t="s">
        <v>33</v>
      </c>
      <c r="B88" s="176" t="s">
        <v>169</v>
      </c>
      <c r="C88" s="244"/>
      <c r="D88" s="244"/>
      <c r="E88" s="244"/>
      <c r="F88" s="142"/>
    </row>
    <row r="89" spans="1:6" ht="52.8">
      <c r="A89" s="224"/>
      <c r="B89" s="243" t="s">
        <v>87</v>
      </c>
      <c r="C89" s="242"/>
      <c r="D89" s="242"/>
      <c r="E89" s="242"/>
      <c r="F89" s="143"/>
    </row>
    <row r="90" spans="1:6" ht="92.4">
      <c r="A90" s="224"/>
      <c r="B90" s="243" t="s">
        <v>88</v>
      </c>
      <c r="C90" s="242"/>
      <c r="D90" s="242"/>
      <c r="E90" s="242"/>
      <c r="F90" s="143"/>
    </row>
    <row r="91" spans="1:6" ht="66">
      <c r="A91" s="224"/>
      <c r="B91" s="243" t="s">
        <v>167</v>
      </c>
      <c r="C91" s="242"/>
      <c r="D91" s="242"/>
      <c r="E91" s="242"/>
      <c r="F91" s="143"/>
    </row>
    <row r="92" spans="1:6" ht="171.6">
      <c r="A92" s="224"/>
      <c r="B92" s="243" t="s">
        <v>168</v>
      </c>
      <c r="C92" s="242"/>
      <c r="D92" s="242"/>
      <c r="E92" s="242"/>
      <c r="F92" s="143"/>
    </row>
    <row r="93" spans="1:6" ht="26.4">
      <c r="A93" s="224"/>
      <c r="B93" s="243" t="s">
        <v>89</v>
      </c>
      <c r="C93" s="242"/>
      <c r="D93" s="242"/>
      <c r="E93" s="242"/>
      <c r="F93" s="143"/>
    </row>
    <row r="94" spans="1:6" ht="12.75" customHeight="1">
      <c r="A94" s="241"/>
      <c r="B94" s="240" t="s">
        <v>93</v>
      </c>
      <c r="C94" s="239" t="s">
        <v>77</v>
      </c>
      <c r="D94" s="238">
        <v>270.2</v>
      </c>
      <c r="E94" s="237"/>
      <c r="F94" s="128">
        <f>D94*E94</f>
        <v>0</v>
      </c>
    </row>
    <row r="95" spans="1:6" ht="9.9" customHeight="1">
      <c r="A95" s="145"/>
      <c r="B95" s="145"/>
      <c r="C95" s="145"/>
      <c r="D95" s="145"/>
      <c r="E95" s="145"/>
      <c r="F95" s="145"/>
    </row>
    <row r="96" spans="1:6" ht="19.5" customHeight="1" thickBot="1">
      <c r="A96" s="341" t="s">
        <v>76</v>
      </c>
      <c r="B96" s="342"/>
      <c r="C96" s="342"/>
      <c r="D96" s="342"/>
      <c r="E96" s="343"/>
      <c r="F96" s="140">
        <f>SUM(F93:F94)</f>
        <v>0</v>
      </c>
    </row>
    <row r="97" spans="1:6" ht="9.9" customHeight="1" thickTop="1" thickBot="1">
      <c r="A97" s="141"/>
      <c r="B97" s="141"/>
      <c r="C97" s="141"/>
      <c r="D97" s="141"/>
      <c r="E97" s="141"/>
      <c r="F97" s="141"/>
    </row>
    <row r="98" spans="1:6" ht="19.5" customHeight="1" thickTop="1" thickBot="1">
      <c r="A98" s="159" t="s">
        <v>62</v>
      </c>
      <c r="B98" s="323" t="s">
        <v>132</v>
      </c>
      <c r="C98" s="324"/>
      <c r="D98" s="324"/>
      <c r="E98" s="324"/>
      <c r="F98" s="345"/>
    </row>
    <row r="99" spans="1:6" ht="66.599999999999994" thickTop="1">
      <c r="A99" s="186" t="s">
        <v>63</v>
      </c>
      <c r="B99" s="236" t="s">
        <v>136</v>
      </c>
      <c r="C99" s="235"/>
      <c r="D99" s="234"/>
      <c r="E99" s="234"/>
      <c r="F99" s="146"/>
    </row>
    <row r="100" spans="1:6" ht="171.6">
      <c r="A100" s="224"/>
      <c r="B100" s="236" t="s">
        <v>137</v>
      </c>
      <c r="C100" s="235"/>
      <c r="D100" s="234"/>
      <c r="E100" s="234"/>
      <c r="F100" s="146"/>
    </row>
    <row r="101" spans="1:6" ht="26.4">
      <c r="A101" s="224"/>
      <c r="B101" s="236" t="s">
        <v>138</v>
      </c>
      <c r="C101" s="235"/>
      <c r="D101" s="234"/>
      <c r="E101" s="234"/>
      <c r="F101" s="146"/>
    </row>
    <row r="102" spans="1:6" ht="26.4">
      <c r="A102" s="224"/>
      <c r="B102" s="236" t="s">
        <v>134</v>
      </c>
      <c r="C102" s="235"/>
      <c r="D102" s="234"/>
      <c r="E102" s="234"/>
      <c r="F102" s="146"/>
    </row>
    <row r="103" spans="1:6" ht="118.8">
      <c r="A103" s="224"/>
      <c r="B103" s="236" t="s">
        <v>139</v>
      </c>
      <c r="C103" s="235"/>
      <c r="D103" s="234"/>
      <c r="E103" s="234"/>
      <c r="F103" s="146"/>
    </row>
    <row r="104" spans="1:6" ht="105.6">
      <c r="A104" s="224"/>
      <c r="B104" s="236" t="s">
        <v>140</v>
      </c>
      <c r="C104" s="235"/>
      <c r="D104" s="234"/>
      <c r="E104" s="234"/>
      <c r="F104" s="147"/>
    </row>
    <row r="105" spans="1:6" ht="52.8">
      <c r="A105" s="224"/>
      <c r="B105" s="223" t="s">
        <v>141</v>
      </c>
      <c r="C105" s="233"/>
      <c r="D105" s="232"/>
      <c r="E105" s="223"/>
      <c r="F105" s="148"/>
    </row>
    <row r="106" spans="1:6" ht="12.75" customHeight="1">
      <c r="A106" s="181"/>
      <c r="B106" s="206" t="s">
        <v>142</v>
      </c>
      <c r="C106" s="179" t="s">
        <v>135</v>
      </c>
      <c r="D106" s="178">
        <v>25.7</v>
      </c>
      <c r="E106" s="168"/>
      <c r="F106" s="128">
        <f>D106*E106</f>
        <v>0</v>
      </c>
    </row>
    <row r="107" spans="1:6" ht="12.75" customHeight="1">
      <c r="A107" s="231"/>
      <c r="B107" s="230" t="s">
        <v>143</v>
      </c>
      <c r="C107" s="229"/>
      <c r="D107" s="229"/>
      <c r="E107" s="229"/>
      <c r="F107" s="129"/>
    </row>
    <row r="108" spans="1:6" ht="12.75" customHeight="1">
      <c r="A108" s="195"/>
      <c r="B108" s="228" t="s">
        <v>177</v>
      </c>
      <c r="C108" s="193" t="s">
        <v>135</v>
      </c>
      <c r="D108" s="192">
        <f>0.4*(3.65+6.7)*2</f>
        <v>8.2799999999999994</v>
      </c>
      <c r="E108" s="191"/>
      <c r="F108" s="130">
        <f>D108*E108</f>
        <v>0</v>
      </c>
    </row>
    <row r="109" spans="1:6" ht="92.4">
      <c r="A109" s="186" t="s">
        <v>64</v>
      </c>
      <c r="B109" s="223" t="s">
        <v>146</v>
      </c>
      <c r="C109" s="222"/>
      <c r="D109" s="222"/>
      <c r="E109" s="222"/>
      <c r="F109" s="149"/>
    </row>
    <row r="110" spans="1:6" ht="66">
      <c r="A110" s="224"/>
      <c r="B110" s="227" t="s">
        <v>144</v>
      </c>
      <c r="C110" s="222"/>
      <c r="D110" s="222"/>
      <c r="E110" s="222"/>
      <c r="F110" s="149"/>
    </row>
    <row r="111" spans="1:6" ht="66">
      <c r="A111" s="224"/>
      <c r="B111" s="226" t="s">
        <v>147</v>
      </c>
      <c r="C111" s="222"/>
      <c r="D111" s="222"/>
      <c r="E111" s="222"/>
      <c r="F111" s="149"/>
    </row>
    <row r="112" spans="1:6" ht="12.75" customHeight="1">
      <c r="A112" s="195"/>
      <c r="B112" s="221" t="s">
        <v>145</v>
      </c>
      <c r="C112" s="193" t="s">
        <v>26</v>
      </c>
      <c r="D112" s="192">
        <v>6.7</v>
      </c>
      <c r="E112" s="191"/>
      <c r="F112" s="130">
        <f>D112*E112</f>
        <v>0</v>
      </c>
    </row>
    <row r="113" spans="1:6" ht="52.8">
      <c r="A113" s="186" t="s">
        <v>156</v>
      </c>
      <c r="B113" s="225" t="s">
        <v>152</v>
      </c>
      <c r="C113" s="184"/>
      <c r="D113" s="190"/>
      <c r="E113" s="182"/>
      <c r="F113" s="138"/>
    </row>
    <row r="114" spans="1:6" ht="66">
      <c r="A114" s="186"/>
      <c r="B114" s="223" t="s">
        <v>153</v>
      </c>
      <c r="C114" s="184"/>
      <c r="D114" s="190"/>
      <c r="E114" s="182"/>
      <c r="F114" s="138"/>
    </row>
    <row r="115" spans="1:6" ht="12.75" customHeight="1">
      <c r="A115" s="195"/>
      <c r="B115" s="221" t="s">
        <v>145</v>
      </c>
      <c r="C115" s="193" t="s">
        <v>26</v>
      </c>
      <c r="D115" s="192">
        <v>6.7</v>
      </c>
      <c r="E115" s="191"/>
      <c r="F115" s="130">
        <f>D115*E115</f>
        <v>0</v>
      </c>
    </row>
    <row r="116" spans="1:6" ht="79.2">
      <c r="A116" s="186" t="s">
        <v>161</v>
      </c>
      <c r="B116" s="223" t="s">
        <v>148</v>
      </c>
      <c r="C116" s="222"/>
      <c r="D116" s="222"/>
      <c r="E116" s="222"/>
      <c r="F116" s="149"/>
    </row>
    <row r="117" spans="1:6" ht="79.2">
      <c r="A117" s="224"/>
      <c r="B117" s="223" t="s">
        <v>149</v>
      </c>
      <c r="C117" s="222"/>
      <c r="D117" s="222"/>
      <c r="E117" s="222"/>
      <c r="F117" s="149"/>
    </row>
    <row r="118" spans="1:6" ht="52.8">
      <c r="A118" s="224"/>
      <c r="B118" s="223" t="s">
        <v>150</v>
      </c>
      <c r="C118" s="222"/>
      <c r="D118" s="222"/>
      <c r="E118" s="222"/>
      <c r="F118" s="149"/>
    </row>
    <row r="119" spans="1:6" ht="12.75" customHeight="1">
      <c r="A119" s="195"/>
      <c r="B119" s="221" t="s">
        <v>145</v>
      </c>
      <c r="C119" s="193" t="s">
        <v>26</v>
      </c>
      <c r="D119" s="192">
        <v>2.5</v>
      </c>
      <c r="E119" s="191"/>
      <c r="F119" s="130">
        <f>D119*E119</f>
        <v>0</v>
      </c>
    </row>
    <row r="120" spans="1:6" ht="10.5" customHeight="1">
      <c r="A120" s="217"/>
      <c r="B120" s="218"/>
      <c r="C120" s="218"/>
      <c r="D120" s="218"/>
      <c r="E120" s="218"/>
      <c r="F120" s="150"/>
    </row>
    <row r="121" spans="1:6" ht="18.75" customHeight="1" thickBot="1">
      <c r="A121" s="341" t="s">
        <v>133</v>
      </c>
      <c r="B121" s="342"/>
      <c r="C121" s="342"/>
      <c r="D121" s="342"/>
      <c r="E121" s="343"/>
      <c r="F121" s="140">
        <f>SUM(F99:F119)</f>
        <v>0</v>
      </c>
    </row>
    <row r="122" spans="1:6" ht="10.5" customHeight="1" thickTop="1" thickBot="1">
      <c r="A122" s="141"/>
      <c r="B122" s="141"/>
      <c r="C122" s="141"/>
      <c r="D122" s="141"/>
      <c r="E122" s="141"/>
      <c r="F122" s="141"/>
    </row>
    <row r="123" spans="1:6" ht="18" customHeight="1" thickTop="1" thickBot="1">
      <c r="A123" s="159" t="s">
        <v>55</v>
      </c>
      <c r="B123" s="323" t="s">
        <v>57</v>
      </c>
      <c r="C123" s="324"/>
      <c r="D123" s="324"/>
      <c r="E123" s="324"/>
      <c r="F123" s="345"/>
    </row>
    <row r="124" spans="1:6" ht="53.4" thickTop="1">
      <c r="A124" s="177" t="s">
        <v>56</v>
      </c>
      <c r="B124" s="220" t="s">
        <v>84</v>
      </c>
      <c r="C124" s="219"/>
      <c r="D124" s="219"/>
      <c r="E124" s="219"/>
      <c r="F124" s="151"/>
    </row>
    <row r="125" spans="1:6" ht="12.75" customHeight="1">
      <c r="A125" s="217"/>
      <c r="B125" s="218" t="s">
        <v>58</v>
      </c>
      <c r="C125" s="218"/>
      <c r="D125" s="218"/>
      <c r="E125" s="218"/>
      <c r="F125" s="150"/>
    </row>
    <row r="126" spans="1:6" ht="12.75" customHeight="1">
      <c r="A126" s="214"/>
      <c r="B126" s="213" t="s">
        <v>59</v>
      </c>
      <c r="C126" s="213"/>
      <c r="D126" s="213"/>
      <c r="E126" s="213"/>
      <c r="F126" s="152"/>
    </row>
    <row r="127" spans="1:6" ht="12.75" customHeight="1">
      <c r="A127" s="217"/>
      <c r="B127" s="216" t="s">
        <v>176</v>
      </c>
      <c r="C127" s="193" t="s">
        <v>13</v>
      </c>
      <c r="D127" s="274">
        <f>(2.6+2.85)/2*18.4+11.6*22.66</f>
        <v>312.99599999999998</v>
      </c>
      <c r="E127" s="210"/>
      <c r="F127" s="130">
        <f>D127*E127</f>
        <v>0</v>
      </c>
    </row>
    <row r="128" spans="1:6" ht="12.75" customHeight="1">
      <c r="A128" s="214"/>
      <c r="B128" s="213" t="s">
        <v>60</v>
      </c>
      <c r="C128" s="170"/>
      <c r="D128" s="170"/>
      <c r="E128" s="208"/>
      <c r="F128" s="137"/>
    </row>
    <row r="129" spans="1:6" ht="12.75" customHeight="1">
      <c r="A129" s="207"/>
      <c r="B129" s="212" t="s">
        <v>175</v>
      </c>
      <c r="C129" s="184" t="s">
        <v>13</v>
      </c>
      <c r="D129" s="211">
        <f>19.06+8.4</f>
        <v>27.46</v>
      </c>
      <c r="E129" s="210"/>
      <c r="F129" s="138">
        <f>D129*E129</f>
        <v>0</v>
      </c>
    </row>
    <row r="130" spans="1:6" ht="39.6">
      <c r="A130" s="172" t="s">
        <v>157</v>
      </c>
      <c r="B130" s="209" t="s">
        <v>78</v>
      </c>
      <c r="C130" s="170"/>
      <c r="D130" s="170"/>
      <c r="E130" s="208"/>
      <c r="F130" s="137"/>
    </row>
    <row r="131" spans="1:6" ht="26.4">
      <c r="A131" s="207"/>
      <c r="B131" s="204" t="s">
        <v>79</v>
      </c>
      <c r="C131" s="184"/>
      <c r="D131" s="184"/>
      <c r="E131" s="201"/>
      <c r="F131" s="138"/>
    </row>
    <row r="132" spans="1:6" ht="12.75" customHeight="1">
      <c r="A132" s="207"/>
      <c r="B132" s="202" t="s">
        <v>80</v>
      </c>
      <c r="C132" s="184"/>
      <c r="D132" s="184"/>
      <c r="E132" s="201"/>
      <c r="F132" s="138"/>
    </row>
    <row r="133" spans="1:6" ht="12.75" customHeight="1">
      <c r="A133" s="200"/>
      <c r="B133" s="206" t="s">
        <v>174</v>
      </c>
      <c r="C133" s="179" t="s">
        <v>26</v>
      </c>
      <c r="D133" s="178">
        <f>(1.31+2.1*2)*8</f>
        <v>44.08</v>
      </c>
      <c r="E133" s="205"/>
      <c r="F133" s="128">
        <f>D133*E133</f>
        <v>0</v>
      </c>
    </row>
    <row r="134" spans="1:6" ht="66">
      <c r="A134" s="186" t="s">
        <v>162</v>
      </c>
      <c r="B134" s="204" t="s">
        <v>81</v>
      </c>
      <c r="C134" s="202"/>
      <c r="D134" s="202"/>
      <c r="E134" s="201"/>
      <c r="F134" s="153"/>
    </row>
    <row r="135" spans="1:6">
      <c r="A135" s="203"/>
      <c r="B135" s="202" t="s">
        <v>58</v>
      </c>
      <c r="C135" s="202"/>
      <c r="D135" s="202"/>
      <c r="E135" s="201"/>
      <c r="F135" s="153"/>
    </row>
    <row r="136" spans="1:6">
      <c r="A136" s="200"/>
      <c r="B136" s="180" t="s">
        <v>173</v>
      </c>
      <c r="C136" s="179" t="s">
        <v>13</v>
      </c>
      <c r="D136" s="199">
        <f>2.9*4.4*8</f>
        <v>102.08</v>
      </c>
      <c r="E136" s="198"/>
      <c r="F136" s="128">
        <f>D136*E136</f>
        <v>0</v>
      </c>
    </row>
    <row r="137" spans="1:6" ht="9" customHeight="1">
      <c r="A137" s="145"/>
      <c r="B137" s="145"/>
      <c r="C137" s="145"/>
      <c r="D137" s="145"/>
      <c r="E137" s="145"/>
      <c r="F137" s="145"/>
    </row>
    <row r="138" spans="1:6" ht="19.5" customHeight="1" thickBot="1">
      <c r="A138" s="341" t="s">
        <v>37</v>
      </c>
      <c r="B138" s="342"/>
      <c r="C138" s="342"/>
      <c r="D138" s="342"/>
      <c r="E138" s="343"/>
      <c r="F138" s="140">
        <f>SUM(F125:F137)</f>
        <v>0</v>
      </c>
    </row>
    <row r="139" spans="1:6" ht="9.9" customHeight="1" thickTop="1" thickBot="1">
      <c r="A139" s="141"/>
      <c r="B139" s="141"/>
      <c r="C139" s="141"/>
      <c r="D139" s="141"/>
      <c r="E139" s="141"/>
      <c r="F139" s="141"/>
    </row>
    <row r="140" spans="1:6" ht="20.100000000000001" customHeight="1" thickTop="1" thickBot="1">
      <c r="A140" s="159" t="s">
        <v>158</v>
      </c>
      <c r="B140" s="323" t="s">
        <v>42</v>
      </c>
      <c r="C140" s="324"/>
      <c r="D140" s="324"/>
      <c r="E140" s="324"/>
      <c r="F140" s="345"/>
    </row>
    <row r="141" spans="1:6" ht="93" thickTop="1">
      <c r="A141" s="172" t="s">
        <v>159</v>
      </c>
      <c r="B141" s="197" t="s">
        <v>54</v>
      </c>
      <c r="C141" s="170"/>
      <c r="D141" s="196"/>
      <c r="E141" s="187"/>
      <c r="F141" s="137"/>
    </row>
    <row r="142" spans="1:6" ht="38.25" customHeight="1">
      <c r="A142" s="195"/>
      <c r="B142" s="194" t="s">
        <v>53</v>
      </c>
      <c r="C142" s="193"/>
      <c r="D142" s="192"/>
      <c r="E142" s="191"/>
      <c r="F142" s="130"/>
    </row>
    <row r="143" spans="1:6">
      <c r="A143" s="186"/>
      <c r="B143" s="185" t="s">
        <v>172</v>
      </c>
      <c r="C143" s="170" t="s">
        <v>13</v>
      </c>
      <c r="D143" s="190">
        <f>0.8*0.6</f>
        <v>0.48</v>
      </c>
      <c r="E143" s="182"/>
      <c r="F143" s="138">
        <f>D143*E143</f>
        <v>0</v>
      </c>
    </row>
    <row r="144" spans="1:6" ht="51" customHeight="1">
      <c r="A144" s="172" t="s">
        <v>163</v>
      </c>
      <c r="B144" s="189" t="s">
        <v>82</v>
      </c>
      <c r="C144" s="170"/>
      <c r="D144" s="188"/>
      <c r="E144" s="187"/>
      <c r="F144" s="137"/>
    </row>
    <row r="145" spans="1:6">
      <c r="A145" s="186"/>
      <c r="B145" s="185" t="s">
        <v>61</v>
      </c>
      <c r="C145" s="184"/>
      <c r="D145" s="183"/>
      <c r="E145" s="182"/>
      <c r="F145" s="138"/>
    </row>
    <row r="146" spans="1:6">
      <c r="A146" s="181"/>
      <c r="B146" s="180" t="s">
        <v>171</v>
      </c>
      <c r="C146" s="179" t="s">
        <v>13</v>
      </c>
      <c r="D146" s="178">
        <f>(2.6+2.85)/2*(6.7*2+3.65*2)</f>
        <v>56.407499999999999</v>
      </c>
      <c r="E146" s="168"/>
      <c r="F146" s="128">
        <f>D146*E146</f>
        <v>0</v>
      </c>
    </row>
    <row r="147" spans="1:6" ht="9.9" customHeight="1">
      <c r="A147" s="139"/>
      <c r="B147" s="139"/>
      <c r="C147" s="139"/>
      <c r="D147" s="139"/>
      <c r="E147" s="139"/>
      <c r="F147" s="139"/>
    </row>
    <row r="148" spans="1:6" ht="20.100000000000001" customHeight="1" thickBot="1">
      <c r="A148" s="341" t="s">
        <v>65</v>
      </c>
      <c r="B148" s="342"/>
      <c r="C148" s="342"/>
      <c r="D148" s="342"/>
      <c r="E148" s="343"/>
      <c r="F148" s="140">
        <f>SUM(F141:F146)</f>
        <v>0</v>
      </c>
    </row>
    <row r="149" spans="1:6" ht="9.9" customHeight="1" thickTop="1" thickBot="1">
      <c r="A149" s="141"/>
      <c r="B149" s="141"/>
      <c r="C149" s="141"/>
      <c r="D149" s="141"/>
      <c r="E149" s="141"/>
      <c r="F149" s="141"/>
    </row>
    <row r="150" spans="1:6" ht="20.100000000000001" customHeight="1" thickTop="1" thickBot="1">
      <c r="A150" s="159" t="s">
        <v>164</v>
      </c>
      <c r="B150" s="323" t="s">
        <v>22</v>
      </c>
      <c r="C150" s="348"/>
      <c r="D150" s="348"/>
      <c r="E150" s="348"/>
      <c r="F150" s="349"/>
    </row>
    <row r="151" spans="1:6" ht="27" thickTop="1">
      <c r="A151" s="177" t="s">
        <v>165</v>
      </c>
      <c r="B151" s="176" t="s">
        <v>83</v>
      </c>
      <c r="C151" s="175"/>
      <c r="D151" s="174"/>
      <c r="E151" s="173"/>
      <c r="F151" s="154"/>
    </row>
    <row r="152" spans="1:6">
      <c r="A152" s="172"/>
      <c r="B152" s="171" t="s">
        <v>31</v>
      </c>
      <c r="C152" s="170" t="s">
        <v>13</v>
      </c>
      <c r="D152" s="169">
        <f>19.06+2.9*1*8</f>
        <v>42.26</v>
      </c>
      <c r="E152" s="168"/>
      <c r="F152" s="128">
        <f>D152*E152</f>
        <v>0</v>
      </c>
    </row>
    <row r="153" spans="1:6" ht="9.9" customHeight="1">
      <c r="A153" s="139"/>
      <c r="B153" s="139"/>
      <c r="C153" s="139"/>
      <c r="D153" s="139"/>
      <c r="E153" s="139"/>
      <c r="F153" s="139"/>
    </row>
    <row r="154" spans="1:6" ht="20.100000000000001" customHeight="1" thickBot="1">
      <c r="A154" s="341" t="s">
        <v>38</v>
      </c>
      <c r="B154" s="342"/>
      <c r="C154" s="342"/>
      <c r="D154" s="342"/>
      <c r="E154" s="343"/>
      <c r="F154" s="140">
        <f>SUM(F151:F153)</f>
        <v>0</v>
      </c>
    </row>
    <row r="155" spans="1:6" ht="9.9" customHeight="1" thickTop="1"/>
    <row r="157" spans="1:6" ht="39.75" customHeight="1">
      <c r="A157" s="344" t="s">
        <v>329</v>
      </c>
      <c r="B157" s="344"/>
      <c r="C157" s="344"/>
      <c r="D157" s="344"/>
      <c r="E157" s="344"/>
      <c r="F157" s="344"/>
    </row>
    <row r="158" spans="1:6" ht="13.8" thickBot="1"/>
    <row r="159" spans="1:6" ht="16.8" thickTop="1" thickBot="1">
      <c r="A159" s="350" t="s">
        <v>40</v>
      </c>
      <c r="B159" s="351"/>
      <c r="C159" s="351"/>
      <c r="D159" s="351"/>
      <c r="E159" s="351"/>
      <c r="F159" s="352"/>
    </row>
    <row r="160" spans="1:6" ht="14.4" thickTop="1" thickBot="1"/>
    <row r="161" spans="1:6" ht="20.25" customHeight="1" thickTop="1" thickBot="1">
      <c r="A161" s="159" t="s">
        <v>23</v>
      </c>
      <c r="B161" s="160" t="s">
        <v>24</v>
      </c>
      <c r="C161" s="161"/>
      <c r="D161" s="161"/>
      <c r="E161" s="161"/>
      <c r="F161" s="156"/>
    </row>
    <row r="162" spans="1:6" ht="20.100000000000001" customHeight="1" thickTop="1" thickBot="1">
      <c r="A162" s="159" t="str">
        <f>A9</f>
        <v>01.01.00.</v>
      </c>
      <c r="B162" s="323" t="str">
        <f>B9</f>
        <v>ДЕМОНТАЖНИ РАДОВИ</v>
      </c>
      <c r="C162" s="324"/>
      <c r="D162" s="324"/>
      <c r="E162" s="325"/>
      <c r="F162" s="157">
        <f>F32</f>
        <v>0</v>
      </c>
    </row>
    <row r="163" spans="1:6" ht="20.100000000000001" customHeight="1" thickTop="1" thickBot="1">
      <c r="A163" s="159" t="str">
        <f>A34</f>
        <v>01.02.00.</v>
      </c>
      <c r="B163" s="323" t="str">
        <f>B34</f>
        <v>БЕТОНСКИ РАДОВИ</v>
      </c>
      <c r="C163" s="324"/>
      <c r="D163" s="324"/>
      <c r="E163" s="325"/>
      <c r="F163" s="157">
        <f>F40</f>
        <v>0</v>
      </c>
    </row>
    <row r="164" spans="1:6" ht="20.100000000000001" customHeight="1" thickTop="1" thickBot="1">
      <c r="A164" s="159" t="str">
        <f>A42</f>
        <v>01.03.00.</v>
      </c>
      <c r="B164" s="163" t="str">
        <f>B42</f>
        <v>АРМИРАЧКИ РАДОВИ</v>
      </c>
      <c r="C164" s="164"/>
      <c r="D164" s="164"/>
      <c r="E164" s="165"/>
      <c r="F164" s="157">
        <f>F48</f>
        <v>0</v>
      </c>
    </row>
    <row r="165" spans="1:6" ht="20.100000000000001" customHeight="1" thickTop="1" thickBot="1">
      <c r="A165" s="159" t="str">
        <f>A50</f>
        <v>01.04.00.</v>
      </c>
      <c r="B165" s="163" t="str">
        <f>B50</f>
        <v>ЗИДАРСКИ РАДОВИ</v>
      </c>
      <c r="C165" s="164"/>
      <c r="D165" s="164"/>
      <c r="E165" s="165"/>
      <c r="F165" s="157">
        <f>F70</f>
        <v>0</v>
      </c>
    </row>
    <row r="166" spans="1:6" ht="20.100000000000001" customHeight="1" thickTop="1" thickBot="1">
      <c r="A166" s="159" t="str">
        <f>A72</f>
        <v>01.05.00.</v>
      </c>
      <c r="B166" s="323" t="str">
        <f>B72</f>
        <v>БРАВАРСКИ РАДОВИ</v>
      </c>
      <c r="C166" s="324"/>
      <c r="D166" s="324"/>
      <c r="E166" s="325"/>
      <c r="F166" s="157">
        <f>F85</f>
        <v>0</v>
      </c>
    </row>
    <row r="167" spans="1:6" ht="20.100000000000001" customHeight="1" thickTop="1" thickBot="1">
      <c r="A167" s="159" t="str">
        <f>A87</f>
        <v>01.06.00.</v>
      </c>
      <c r="B167" s="163" t="str">
        <f>B87</f>
        <v>ЧЕЛИЧНА КОНСТРУКЦИЈА</v>
      </c>
      <c r="C167" s="164"/>
      <c r="D167" s="164"/>
      <c r="E167" s="165"/>
      <c r="F167" s="157">
        <f>F96</f>
        <v>0</v>
      </c>
    </row>
    <row r="168" spans="1:6" ht="20.100000000000001" customHeight="1" thickTop="1" thickBot="1">
      <c r="A168" s="159" t="str">
        <f>A98</f>
        <v>01.07.00.</v>
      </c>
      <c r="B168" s="163" t="str">
        <f>B98</f>
        <v>ЛИМАРСКИ РАДОВИ</v>
      </c>
      <c r="C168" s="164"/>
      <c r="D168" s="164"/>
      <c r="E168" s="165"/>
      <c r="F168" s="157">
        <f>F121</f>
        <v>0</v>
      </c>
    </row>
    <row r="169" spans="1:6" ht="20.100000000000001" customHeight="1" thickTop="1" thickBot="1">
      <c r="A169" s="159" t="str">
        <f>A123</f>
        <v>01.08.00.</v>
      </c>
      <c r="B169" s="163" t="str">
        <f>B123</f>
        <v>МОЛЕРСКО ФАРБАРСКИ РАДОВИ</v>
      </c>
      <c r="C169" s="164"/>
      <c r="D169" s="164"/>
      <c r="E169" s="165"/>
      <c r="F169" s="157">
        <f>F138</f>
        <v>0</v>
      </c>
    </row>
    <row r="170" spans="1:6" ht="20.100000000000001" customHeight="1" thickTop="1" thickBot="1">
      <c r="A170" s="159" t="str">
        <f>A140</f>
        <v>01.09.00.</v>
      </c>
      <c r="B170" s="323" t="str">
        <f>B140</f>
        <v>ФАСАДЕРСКИ РАДОВИ</v>
      </c>
      <c r="C170" s="324"/>
      <c r="D170" s="324"/>
      <c r="E170" s="325"/>
      <c r="F170" s="157">
        <f>F148</f>
        <v>0</v>
      </c>
    </row>
    <row r="171" spans="1:6" ht="20.100000000000001" customHeight="1" thickTop="1" thickBot="1">
      <c r="A171" s="159" t="str">
        <f>A150</f>
        <v>01.10.00.</v>
      </c>
      <c r="B171" s="323" t="str">
        <f>B150</f>
        <v>РАЗНИ РАДОВИ</v>
      </c>
      <c r="C171" s="324"/>
      <c r="D171" s="324"/>
      <c r="E171" s="325"/>
      <c r="F171" s="158">
        <f>F154</f>
        <v>0</v>
      </c>
    </row>
    <row r="172" spans="1:6" ht="20.100000000000001" customHeight="1" thickTop="1" thickBot="1">
      <c r="A172" s="166"/>
      <c r="B172" s="164"/>
      <c r="C172" s="164"/>
      <c r="D172" s="346" t="s">
        <v>41</v>
      </c>
      <c r="E172" s="347"/>
      <c r="F172" s="167">
        <f>SUM(F162:F171)</f>
        <v>0</v>
      </c>
    </row>
    <row r="173" spans="1:6" ht="13.8" thickTop="1"/>
  </sheetData>
  <sheetProtection algorithmName="SHA-512" hashValue="zCvp/rQe3NKKaRWN/TO4Wqa8vQcK+AX7fXTo7LqJZqYy1ruQKAAG2EHmp671hc3TLw0jimn5Arr4rhEFcAZLxw==" saltValue="JHJtmByq9KHnqsMbF4F6LA==" spinCount="100000" sheet="1" formatCells="0" formatColumns="0" formatRows="0" insertColumns="0" insertRows="0" insertHyperlinks="0" deleteColumns="0" deleteRows="0" sort="0" autoFilter="0" pivotTables="0"/>
  <protectedRanges>
    <protectedRange sqref="E1:E1048576" name="Range1"/>
  </protectedRanges>
  <mergeCells count="34">
    <mergeCell ref="D172:E172"/>
    <mergeCell ref="A159:F159"/>
    <mergeCell ref="B171:E171"/>
    <mergeCell ref="A2:F2"/>
    <mergeCell ref="B9:F9"/>
    <mergeCell ref="A6:A7"/>
    <mergeCell ref="B6:B7"/>
    <mergeCell ref="C6:C7"/>
    <mergeCell ref="A32:E32"/>
    <mergeCell ref="A70:E70"/>
    <mergeCell ref="B166:E166"/>
    <mergeCell ref="B162:E162"/>
    <mergeCell ref="B98:F98"/>
    <mergeCell ref="A138:E138"/>
    <mergeCell ref="A40:E40"/>
    <mergeCell ref="B42:F42"/>
    <mergeCell ref="B163:E163"/>
    <mergeCell ref="A148:E148"/>
    <mergeCell ref="B170:E170"/>
    <mergeCell ref="B150:F150"/>
    <mergeCell ref="A154:E154"/>
    <mergeCell ref="A3:F3"/>
    <mergeCell ref="A4:F4"/>
    <mergeCell ref="B72:F72"/>
    <mergeCell ref="A85:E85"/>
    <mergeCell ref="A157:F157"/>
    <mergeCell ref="B140:F140"/>
    <mergeCell ref="B87:F87"/>
    <mergeCell ref="A96:E96"/>
    <mergeCell ref="B34:F34"/>
    <mergeCell ref="A121:E121"/>
    <mergeCell ref="B123:F123"/>
    <mergeCell ref="B50:F50"/>
    <mergeCell ref="A48:E48"/>
  </mergeCells>
  <pageMargins left="0.90551181102362199" right="0.196850393700787" top="0.39370078740157499" bottom="0.39370078740157499" header="0" footer="0.196850393700787"/>
  <pageSetup paperSize="9" orientation="portrait" r:id="rId1"/>
  <headerFooter>
    <oddFooter xml:space="preserve">&amp;R&amp;"Arial,Regular"&amp;9Страна  &amp;"Arial,Bold"&amp;P&amp;"Arial,Regular"  од  &amp;N  </oddFooter>
  </headerFooter>
  <rowBreaks count="12" manualBreakCount="12">
    <brk id="24" max="16383" man="1"/>
    <brk id="32" max="16383" man="1"/>
    <brk id="40" max="16383" man="1"/>
    <brk id="48" max="16383" man="1"/>
    <brk id="70" max="16383" man="1"/>
    <brk id="85" max="16383" man="1"/>
    <brk id="96" max="16383" man="1"/>
    <brk id="108" max="16383" man="1"/>
    <brk id="121" max="16383" man="1"/>
    <brk id="138" max="16383" man="1"/>
    <brk id="148" max="16383" man="1"/>
    <brk id="15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ABFCBD-E6EA-4DA9-B677-CD9C18C8BC7F}">
  <dimension ref="A1:G170"/>
  <sheetViews>
    <sheetView showGridLines="0" showZeros="0" view="pageBreakPreview" zoomScaleNormal="100" zoomScaleSheetLayoutView="100" workbookViewId="0">
      <selection activeCell="A3" sqref="A3:F3"/>
    </sheetView>
  </sheetViews>
  <sheetFormatPr defaultColWidth="9.109375" defaultRowHeight="13.2"/>
  <cols>
    <col min="1" max="1" width="9.6640625" style="131" customWidth="1"/>
    <col min="2" max="2" width="36.44140625" style="131" customWidth="1"/>
    <col min="3" max="3" width="5.6640625" style="131" customWidth="1"/>
    <col min="4" max="4" width="9.6640625" style="131" customWidth="1"/>
    <col min="5" max="5" width="15.33203125" style="131" customWidth="1"/>
    <col min="6" max="6" width="15.6640625" style="131" customWidth="1"/>
    <col min="7" max="7" width="1.6640625" style="131" customWidth="1"/>
    <col min="8" max="8" width="13.109375" style="162" customWidth="1"/>
    <col min="9" max="16384" width="9.109375" style="162"/>
  </cols>
  <sheetData>
    <row r="1" spans="1:6" ht="7.5" customHeight="1"/>
    <row r="2" spans="1:6" ht="15.6">
      <c r="A2" s="353" t="s">
        <v>0</v>
      </c>
      <c r="B2" s="353"/>
      <c r="C2" s="353"/>
      <c r="D2" s="353"/>
      <c r="E2" s="353"/>
      <c r="F2" s="353"/>
    </row>
    <row r="3" spans="1:6" ht="45.75" customHeight="1">
      <c r="A3" s="344" t="s">
        <v>330</v>
      </c>
      <c r="B3" s="344"/>
      <c r="C3" s="344"/>
      <c r="D3" s="344"/>
      <c r="E3" s="344"/>
      <c r="F3" s="344"/>
    </row>
    <row r="4" spans="1:6">
      <c r="A4" s="358" t="s">
        <v>39</v>
      </c>
      <c r="B4" s="359"/>
      <c r="C4" s="359"/>
      <c r="D4" s="359"/>
      <c r="E4" s="359"/>
      <c r="F4" s="359"/>
    </row>
    <row r="5" spans="1:6" ht="4.5" customHeight="1" thickBot="1"/>
    <row r="6" spans="1:6" ht="27.6" thickTop="1" thickBot="1">
      <c r="A6" s="354" t="s">
        <v>1</v>
      </c>
      <c r="B6" s="356" t="s">
        <v>4</v>
      </c>
      <c r="C6" s="356" t="s">
        <v>10</v>
      </c>
      <c r="D6" s="273" t="s">
        <v>2</v>
      </c>
      <c r="E6" s="273" t="s">
        <v>5</v>
      </c>
      <c r="F6" s="132" t="s">
        <v>6</v>
      </c>
    </row>
    <row r="7" spans="1:6" ht="14.4" thickTop="1" thickBot="1">
      <c r="A7" s="355"/>
      <c r="B7" s="357"/>
      <c r="C7" s="357"/>
      <c r="D7" s="272" t="s">
        <v>7</v>
      </c>
      <c r="E7" s="272" t="s">
        <v>8</v>
      </c>
      <c r="F7" s="133" t="s">
        <v>9</v>
      </c>
    </row>
    <row r="8" spans="1:6" ht="9.9" customHeight="1" thickTop="1" thickBot="1">
      <c r="A8" s="271"/>
      <c r="B8" s="271"/>
      <c r="C8" s="271"/>
      <c r="D8" s="134"/>
      <c r="E8" s="134"/>
      <c r="F8" s="134"/>
    </row>
    <row r="9" spans="1:6" ht="20.100000000000001" customHeight="1" thickTop="1" thickBot="1">
      <c r="A9" s="159" t="s">
        <v>25</v>
      </c>
      <c r="B9" s="323" t="s">
        <v>12</v>
      </c>
      <c r="C9" s="348"/>
      <c r="D9" s="348"/>
      <c r="E9" s="348"/>
      <c r="F9" s="349"/>
    </row>
    <row r="10" spans="1:6" ht="12.75" customHeight="1" thickTop="1">
      <c r="A10" s="270"/>
      <c r="B10" s="219" t="s">
        <v>45</v>
      </c>
      <c r="C10" s="269"/>
      <c r="D10" s="269"/>
      <c r="E10" s="269"/>
      <c r="F10" s="135"/>
    </row>
    <row r="11" spans="1:6" ht="102" customHeight="1">
      <c r="A11" s="224"/>
      <c r="B11" s="243" t="s">
        <v>46</v>
      </c>
      <c r="C11" s="268"/>
      <c r="D11" s="268"/>
      <c r="E11" s="268"/>
      <c r="F11" s="136"/>
    </row>
    <row r="12" spans="1:6" ht="39.6">
      <c r="A12" s="172" t="s">
        <v>14</v>
      </c>
      <c r="B12" s="197" t="s">
        <v>232</v>
      </c>
      <c r="C12" s="170"/>
      <c r="D12" s="170"/>
      <c r="E12" s="187"/>
      <c r="F12" s="137"/>
    </row>
    <row r="13" spans="1:6" ht="39.6">
      <c r="A13" s="186"/>
      <c r="B13" s="225" t="s">
        <v>66</v>
      </c>
      <c r="C13" s="184"/>
      <c r="D13" s="184"/>
      <c r="E13" s="182"/>
      <c r="F13" s="138"/>
    </row>
    <row r="14" spans="1:6">
      <c r="A14" s="181"/>
      <c r="B14" s="267" t="s">
        <v>185</v>
      </c>
      <c r="C14" s="179" t="s">
        <v>3</v>
      </c>
      <c r="D14" s="179">
        <v>1</v>
      </c>
      <c r="E14" s="168"/>
      <c r="F14" s="128">
        <f>D14*E14</f>
        <v>0</v>
      </c>
    </row>
    <row r="15" spans="1:6" ht="26.4">
      <c r="A15" s="181"/>
      <c r="B15" s="171" t="s">
        <v>231</v>
      </c>
      <c r="C15" s="179" t="s">
        <v>3</v>
      </c>
      <c r="D15" s="179">
        <v>1</v>
      </c>
      <c r="E15" s="168"/>
      <c r="F15" s="128">
        <f>D15*E15</f>
        <v>0</v>
      </c>
    </row>
    <row r="16" spans="1:6" ht="66">
      <c r="A16" s="172" t="s">
        <v>15</v>
      </c>
      <c r="B16" s="197" t="s">
        <v>170</v>
      </c>
      <c r="C16" s="170"/>
      <c r="D16" s="170"/>
      <c r="E16" s="187"/>
      <c r="F16" s="137"/>
    </row>
    <row r="17" spans="1:6" ht="26.4">
      <c r="A17" s="186"/>
      <c r="B17" s="243" t="s">
        <v>67</v>
      </c>
      <c r="C17" s="184"/>
      <c r="D17" s="184"/>
      <c r="E17" s="182"/>
      <c r="F17" s="138"/>
    </row>
    <row r="18" spans="1:6">
      <c r="A18" s="181"/>
      <c r="B18" s="171" t="s">
        <v>230</v>
      </c>
      <c r="C18" s="179" t="s">
        <v>3</v>
      </c>
      <c r="D18" s="179">
        <v>1</v>
      </c>
      <c r="E18" s="168"/>
      <c r="F18" s="128">
        <f>D18*E18</f>
        <v>0</v>
      </c>
    </row>
    <row r="19" spans="1:6" ht="66">
      <c r="A19" s="172" t="s">
        <v>16</v>
      </c>
      <c r="B19" s="189" t="s">
        <v>103</v>
      </c>
      <c r="C19" s="170"/>
      <c r="D19" s="266"/>
      <c r="E19" s="187"/>
      <c r="F19" s="137"/>
    </row>
    <row r="20" spans="1:6" ht="26.4">
      <c r="A20" s="195"/>
      <c r="B20" s="228" t="s">
        <v>69</v>
      </c>
      <c r="C20" s="193"/>
      <c r="D20" s="265"/>
      <c r="E20" s="191"/>
      <c r="F20" s="130"/>
    </row>
    <row r="21" spans="1:6">
      <c r="A21" s="181"/>
      <c r="B21" s="261" t="s">
        <v>229</v>
      </c>
      <c r="C21" s="179" t="s">
        <v>70</v>
      </c>
      <c r="D21" s="301">
        <f>0.5*0.6*0.6*2</f>
        <v>0.36</v>
      </c>
      <c r="E21" s="168"/>
      <c r="F21" s="128">
        <f>D21*E21</f>
        <v>0</v>
      </c>
    </row>
    <row r="22" spans="1:6" ht="39.6">
      <c r="A22" s="172" t="s">
        <v>17</v>
      </c>
      <c r="B22" s="234" t="s">
        <v>228</v>
      </c>
      <c r="C22" s="170"/>
      <c r="D22" s="170"/>
      <c r="E22" s="187"/>
      <c r="F22" s="137"/>
    </row>
    <row r="23" spans="1:6" ht="52.8">
      <c r="A23" s="186"/>
      <c r="B23" s="264" t="s">
        <v>105</v>
      </c>
      <c r="C23" s="184"/>
      <c r="D23" s="184"/>
      <c r="E23" s="182"/>
      <c r="F23" s="138"/>
    </row>
    <row r="24" spans="1:6" ht="26.4">
      <c r="A24" s="186"/>
      <c r="B24" s="185" t="s">
        <v>68</v>
      </c>
      <c r="C24" s="184"/>
      <c r="D24" s="184"/>
      <c r="E24" s="182"/>
      <c r="F24" s="138"/>
    </row>
    <row r="25" spans="1:6">
      <c r="A25" s="181"/>
      <c r="B25" s="180" t="s">
        <v>200</v>
      </c>
      <c r="C25" s="179" t="s">
        <v>13</v>
      </c>
      <c r="D25" s="289">
        <f>15.45*(2.97*2+2.11)</f>
        <v>124.3725</v>
      </c>
      <c r="E25" s="168"/>
      <c r="F25" s="128">
        <f>D25*E25</f>
        <v>0</v>
      </c>
    </row>
    <row r="26" spans="1:6" ht="26.4">
      <c r="A26" s="172" t="s">
        <v>18</v>
      </c>
      <c r="B26" s="234" t="s">
        <v>227</v>
      </c>
      <c r="C26" s="170"/>
      <c r="D26" s="170"/>
      <c r="E26" s="187"/>
      <c r="F26" s="137"/>
    </row>
    <row r="27" spans="1:6" ht="52.8">
      <c r="A27" s="186"/>
      <c r="B27" s="264" t="s">
        <v>105</v>
      </c>
      <c r="C27" s="184"/>
      <c r="D27" s="184"/>
      <c r="E27" s="182"/>
      <c r="F27" s="138"/>
    </row>
    <row r="28" spans="1:6" ht="26.4">
      <c r="A28" s="186"/>
      <c r="B28" s="185" t="s">
        <v>68</v>
      </c>
      <c r="C28" s="184"/>
      <c r="D28" s="184"/>
      <c r="E28" s="182"/>
      <c r="F28" s="138"/>
    </row>
    <row r="29" spans="1:6">
      <c r="A29" s="195"/>
      <c r="B29" s="216" t="s">
        <v>195</v>
      </c>
      <c r="C29" s="193" t="s">
        <v>13</v>
      </c>
      <c r="D29" s="249">
        <f>0.5*3.1+2*(1.48*2+0.28)</f>
        <v>8.0300000000000011</v>
      </c>
      <c r="E29" s="191"/>
      <c r="F29" s="130">
        <f>D29*E29</f>
        <v>0</v>
      </c>
    </row>
    <row r="30" spans="1:6" ht="26.4">
      <c r="A30" s="172" t="s">
        <v>94</v>
      </c>
      <c r="B30" s="197" t="s">
        <v>95</v>
      </c>
      <c r="C30" s="170"/>
      <c r="D30" s="170"/>
      <c r="E30" s="187"/>
      <c r="F30" s="137"/>
    </row>
    <row r="31" spans="1:6" ht="52.8">
      <c r="A31" s="186"/>
      <c r="B31" s="243" t="s">
        <v>96</v>
      </c>
      <c r="C31" s="184"/>
      <c r="D31" s="184"/>
      <c r="E31" s="182"/>
      <c r="F31" s="138"/>
    </row>
    <row r="32" spans="1:6" ht="26.4">
      <c r="A32" s="195"/>
      <c r="B32" s="194" t="s">
        <v>68</v>
      </c>
      <c r="C32" s="193" t="s">
        <v>13</v>
      </c>
      <c r="D32" s="249">
        <v>12.76</v>
      </c>
      <c r="E32" s="191"/>
      <c r="F32" s="130">
        <f>D32*E32</f>
        <v>0</v>
      </c>
    </row>
    <row r="33" spans="1:6" ht="79.2">
      <c r="A33" s="172" t="s">
        <v>226</v>
      </c>
      <c r="B33" s="197" t="s">
        <v>225</v>
      </c>
      <c r="C33" s="170"/>
      <c r="D33" s="170"/>
      <c r="E33" s="187"/>
      <c r="F33" s="137"/>
    </row>
    <row r="34" spans="1:6" ht="52.8">
      <c r="A34" s="186"/>
      <c r="B34" s="243" t="s">
        <v>96</v>
      </c>
      <c r="C34" s="184"/>
      <c r="D34" s="184"/>
      <c r="E34" s="182"/>
      <c r="F34" s="138"/>
    </row>
    <row r="35" spans="1:6" ht="39.6">
      <c r="A35" s="195"/>
      <c r="B35" s="194" t="s">
        <v>224</v>
      </c>
      <c r="C35" s="193" t="s">
        <v>13</v>
      </c>
      <c r="D35" s="249">
        <v>200</v>
      </c>
      <c r="E35" s="191"/>
      <c r="F35" s="130">
        <f>D35*E35</f>
        <v>0</v>
      </c>
    </row>
    <row r="36" spans="1:6" ht="9.9" customHeight="1">
      <c r="A36" s="139"/>
      <c r="B36" s="139"/>
      <c r="C36" s="139"/>
      <c r="D36" s="139"/>
      <c r="E36" s="139"/>
      <c r="F36" s="139"/>
    </row>
    <row r="37" spans="1:6" ht="20.100000000000001" customHeight="1" thickBot="1">
      <c r="A37" s="341" t="s">
        <v>11</v>
      </c>
      <c r="B37" s="369"/>
      <c r="C37" s="369"/>
      <c r="D37" s="369"/>
      <c r="E37" s="370"/>
      <c r="F37" s="140">
        <f>SUM(F12:F36)</f>
        <v>0</v>
      </c>
    </row>
    <row r="38" spans="1:6" ht="9.9" customHeight="1" thickTop="1" thickBot="1">
      <c r="A38" s="141"/>
      <c r="B38" s="141"/>
      <c r="C38" s="141"/>
      <c r="D38" s="141"/>
      <c r="E38" s="141"/>
      <c r="F38" s="141"/>
    </row>
    <row r="39" spans="1:6" ht="20.100000000000001" customHeight="1" thickTop="1" thickBot="1">
      <c r="A39" s="159" t="s">
        <v>29</v>
      </c>
      <c r="B39" s="323" t="s">
        <v>19</v>
      </c>
      <c r="C39" s="348"/>
      <c r="D39" s="348"/>
      <c r="E39" s="348"/>
      <c r="F39" s="349"/>
    </row>
    <row r="40" spans="1:6" ht="13.8" thickTop="1">
      <c r="A40" s="177" t="s">
        <v>20</v>
      </c>
      <c r="B40" s="131" t="s">
        <v>119</v>
      </c>
      <c r="C40" s="244"/>
      <c r="D40" s="244"/>
      <c r="E40" s="244"/>
      <c r="F40" s="138"/>
    </row>
    <row r="41" spans="1:6">
      <c r="A41" s="186"/>
      <c r="B41" s="131" t="s">
        <v>120</v>
      </c>
      <c r="C41" s="242"/>
      <c r="D41" s="242"/>
      <c r="E41" s="242"/>
      <c r="F41" s="138"/>
    </row>
    <row r="42" spans="1:6">
      <c r="A42" s="186"/>
      <c r="B42" s="131" t="s">
        <v>121</v>
      </c>
      <c r="C42" s="242"/>
      <c r="D42" s="242"/>
      <c r="E42" s="242"/>
      <c r="F42" s="138"/>
    </row>
    <row r="43" spans="1:6">
      <c r="A43" s="186"/>
      <c r="B43" s="131" t="s">
        <v>31</v>
      </c>
      <c r="C43" s="242"/>
      <c r="D43" s="242"/>
      <c r="E43" s="242"/>
      <c r="F43" s="138"/>
    </row>
    <row r="44" spans="1:6">
      <c r="A44" s="172"/>
      <c r="B44" s="197" t="s">
        <v>47</v>
      </c>
      <c r="C44" s="230"/>
      <c r="D44" s="230"/>
      <c r="E44" s="230"/>
      <c r="F44" s="137"/>
    </row>
    <row r="45" spans="1:6">
      <c r="A45" s="195"/>
      <c r="B45" s="254" t="s">
        <v>172</v>
      </c>
      <c r="C45" s="193" t="s">
        <v>13</v>
      </c>
      <c r="D45" s="253">
        <f>0.8*0.6</f>
        <v>0.48</v>
      </c>
      <c r="E45" s="191"/>
      <c r="F45" s="130">
        <f>D45*E45</f>
        <v>0</v>
      </c>
    </row>
    <row r="46" spans="1:6" ht="66">
      <c r="A46" s="172" t="s">
        <v>223</v>
      </c>
      <c r="B46" s="197" t="s">
        <v>128</v>
      </c>
      <c r="C46" s="170"/>
      <c r="D46" s="251"/>
      <c r="E46" s="187"/>
      <c r="F46" s="137"/>
    </row>
    <row r="47" spans="1:6" ht="39.6">
      <c r="A47" s="186"/>
      <c r="B47" s="243" t="s">
        <v>48</v>
      </c>
      <c r="C47" s="184"/>
      <c r="D47" s="250"/>
      <c r="E47" s="182"/>
      <c r="F47" s="138"/>
    </row>
    <row r="48" spans="1:6">
      <c r="A48" s="195"/>
      <c r="B48" s="194" t="s">
        <v>49</v>
      </c>
      <c r="C48" s="193"/>
      <c r="D48" s="249"/>
      <c r="E48" s="191"/>
      <c r="F48" s="130"/>
    </row>
    <row r="49" spans="1:6">
      <c r="A49" s="181"/>
      <c r="B49" s="254" t="s">
        <v>172</v>
      </c>
      <c r="C49" s="193" t="s">
        <v>13</v>
      </c>
      <c r="D49" s="253">
        <f>0.8*0.6</f>
        <v>0.48</v>
      </c>
      <c r="E49" s="168"/>
      <c r="F49" s="130">
        <f>D49*E49</f>
        <v>0</v>
      </c>
    </row>
    <row r="50" spans="1:6" ht="52.8">
      <c r="A50" s="172" t="s">
        <v>222</v>
      </c>
      <c r="B50" s="189" t="s">
        <v>99</v>
      </c>
      <c r="C50" s="170"/>
      <c r="D50" s="196"/>
      <c r="E50" s="187"/>
      <c r="F50" s="137"/>
    </row>
    <row r="51" spans="1:6">
      <c r="A51" s="186"/>
      <c r="B51" s="185" t="s">
        <v>97</v>
      </c>
      <c r="C51" s="184"/>
      <c r="D51" s="190"/>
      <c r="E51" s="182"/>
      <c r="F51" s="138"/>
    </row>
    <row r="52" spans="1:6">
      <c r="A52" s="186"/>
      <c r="B52" s="252" t="s">
        <v>98</v>
      </c>
      <c r="C52" s="184"/>
      <c r="D52" s="190"/>
      <c r="E52" s="182"/>
      <c r="F52" s="138"/>
    </row>
    <row r="53" spans="1:6" ht="39.6">
      <c r="A53" s="186"/>
      <c r="B53" s="185" t="s">
        <v>91</v>
      </c>
      <c r="C53" s="184"/>
      <c r="D53" s="190"/>
      <c r="E53" s="182"/>
      <c r="F53" s="138"/>
    </row>
    <row r="54" spans="1:6">
      <c r="A54" s="181"/>
      <c r="B54" s="206" t="s">
        <v>31</v>
      </c>
      <c r="C54" s="179" t="s">
        <v>13</v>
      </c>
      <c r="D54" s="178">
        <v>12.76</v>
      </c>
      <c r="E54" s="168"/>
      <c r="F54" s="128">
        <f>D54*E54</f>
        <v>0</v>
      </c>
    </row>
    <row r="55" spans="1:6" ht="9.9" customHeight="1">
      <c r="A55" s="139"/>
      <c r="B55" s="139"/>
      <c r="C55" s="139"/>
      <c r="D55" s="139"/>
      <c r="E55" s="139"/>
      <c r="F55" s="139"/>
    </row>
    <row r="56" spans="1:6" ht="20.100000000000001" customHeight="1" thickBot="1">
      <c r="A56" s="341" t="s">
        <v>21</v>
      </c>
      <c r="B56" s="342"/>
      <c r="C56" s="342"/>
      <c r="D56" s="342"/>
      <c r="E56" s="343"/>
      <c r="F56" s="140">
        <f>SUM(F45:F54)</f>
        <v>0</v>
      </c>
    </row>
    <row r="57" spans="1:6" ht="9.9" customHeight="1" thickTop="1" thickBot="1">
      <c r="A57" s="141"/>
      <c r="B57" s="141"/>
      <c r="C57" s="141"/>
      <c r="D57" s="141"/>
      <c r="E57" s="141"/>
      <c r="F57" s="141"/>
    </row>
    <row r="58" spans="1:6" ht="20.100000000000001" customHeight="1" thickTop="1" thickBot="1">
      <c r="A58" s="159" t="s">
        <v>28</v>
      </c>
      <c r="B58" s="323" t="s">
        <v>73</v>
      </c>
      <c r="C58" s="348"/>
      <c r="D58" s="348"/>
      <c r="E58" s="348"/>
      <c r="F58" s="349"/>
    </row>
    <row r="59" spans="1:6" ht="79.8" thickTop="1">
      <c r="A59" s="172" t="s">
        <v>27</v>
      </c>
      <c r="B59" s="197" t="s">
        <v>124</v>
      </c>
      <c r="C59" s="170"/>
      <c r="D59" s="251"/>
      <c r="E59" s="187"/>
      <c r="F59" s="137"/>
    </row>
    <row r="60" spans="1:6" ht="79.2">
      <c r="A60" s="186"/>
      <c r="B60" s="243" t="s">
        <v>123</v>
      </c>
      <c r="C60" s="184"/>
      <c r="D60" s="250"/>
      <c r="E60" s="182"/>
      <c r="F60" s="138"/>
    </row>
    <row r="61" spans="1:6" ht="92.4">
      <c r="A61" s="186"/>
      <c r="B61" s="243" t="s">
        <v>125</v>
      </c>
      <c r="C61" s="184"/>
      <c r="D61" s="250"/>
      <c r="E61" s="182"/>
      <c r="F61" s="138"/>
    </row>
    <row r="62" spans="1:6">
      <c r="A62" s="195"/>
      <c r="B62" s="194" t="s">
        <v>34</v>
      </c>
      <c r="C62" s="193"/>
      <c r="D62" s="249"/>
      <c r="E62" s="191"/>
      <c r="F62" s="130"/>
    </row>
    <row r="63" spans="1:6" ht="26.4">
      <c r="A63" s="248"/>
      <c r="B63" s="194" t="s">
        <v>181</v>
      </c>
      <c r="C63" s="179" t="s">
        <v>3</v>
      </c>
      <c r="D63" s="247">
        <v>1</v>
      </c>
      <c r="E63" s="191"/>
      <c r="F63" s="130">
        <f>D63*E63</f>
        <v>0</v>
      </c>
    </row>
    <row r="64" spans="1:6" ht="158.4">
      <c r="A64" s="172" t="s">
        <v>221</v>
      </c>
      <c r="B64" s="197" t="s">
        <v>180</v>
      </c>
      <c r="C64" s="170"/>
      <c r="D64" s="246"/>
      <c r="E64" s="187"/>
      <c r="F64" s="137"/>
    </row>
    <row r="65" spans="1:6" ht="66">
      <c r="A65" s="186"/>
      <c r="B65" s="243" t="s">
        <v>179</v>
      </c>
      <c r="C65" s="184"/>
      <c r="D65" s="245"/>
      <c r="E65" s="182"/>
      <c r="F65" s="138"/>
    </row>
    <row r="66" spans="1:6" ht="79.2">
      <c r="A66" s="186"/>
      <c r="B66" s="243" t="s">
        <v>123</v>
      </c>
      <c r="C66" s="184"/>
      <c r="D66" s="245"/>
      <c r="E66" s="182"/>
      <c r="F66" s="138"/>
    </row>
    <row r="67" spans="1:6" ht="92.4">
      <c r="A67" s="186"/>
      <c r="B67" s="243" t="s">
        <v>125</v>
      </c>
      <c r="C67" s="184"/>
      <c r="D67" s="245"/>
      <c r="E67" s="182"/>
      <c r="F67" s="138"/>
    </row>
    <row r="68" spans="1:6">
      <c r="A68" s="186"/>
      <c r="B68" s="243" t="s">
        <v>34</v>
      </c>
      <c r="C68" s="184"/>
      <c r="D68" s="245"/>
      <c r="E68" s="182"/>
      <c r="F68" s="138"/>
    </row>
    <row r="69" spans="1:6" ht="26.4">
      <c r="A69" s="181"/>
      <c r="B69" s="171" t="s">
        <v>178</v>
      </c>
      <c r="C69" s="179" t="s">
        <v>3</v>
      </c>
      <c r="D69" s="275">
        <v>1</v>
      </c>
      <c r="E69" s="168"/>
      <c r="F69" s="128">
        <f>D69*E69</f>
        <v>0</v>
      </c>
    </row>
    <row r="70" spans="1:6" ht="9.9" customHeight="1">
      <c r="A70" s="139"/>
      <c r="B70" s="139"/>
      <c r="C70" s="139"/>
      <c r="D70" s="139"/>
      <c r="E70" s="139"/>
      <c r="F70" s="139"/>
    </row>
    <row r="71" spans="1:6" ht="20.100000000000001" customHeight="1" thickBot="1">
      <c r="A71" s="341" t="s">
        <v>74</v>
      </c>
      <c r="B71" s="342"/>
      <c r="C71" s="342"/>
      <c r="D71" s="342"/>
      <c r="E71" s="343"/>
      <c r="F71" s="140">
        <f>SUM(F59:F69)</f>
        <v>0</v>
      </c>
    </row>
    <row r="72" spans="1:6" ht="9.9" customHeight="1" thickTop="1" thickBot="1">
      <c r="A72" s="141"/>
      <c r="B72" s="141"/>
      <c r="C72" s="141"/>
      <c r="D72" s="141"/>
      <c r="E72" s="141"/>
      <c r="F72" s="141"/>
    </row>
    <row r="73" spans="1:6" ht="19.5" customHeight="1" thickTop="1" thickBot="1">
      <c r="A73" s="159" t="s">
        <v>30</v>
      </c>
      <c r="B73" s="323" t="s">
        <v>75</v>
      </c>
      <c r="C73" s="324"/>
      <c r="D73" s="324"/>
      <c r="E73" s="324"/>
      <c r="F73" s="345"/>
    </row>
    <row r="74" spans="1:6" ht="53.4" thickTop="1">
      <c r="A74" s="186" t="s">
        <v>43</v>
      </c>
      <c r="B74" s="176" t="s">
        <v>220</v>
      </c>
      <c r="C74" s="244"/>
      <c r="D74" s="244"/>
      <c r="E74" s="244"/>
      <c r="F74" s="142"/>
    </row>
    <row r="75" spans="1:6" ht="52.8">
      <c r="A75" s="224"/>
      <c r="B75" s="243" t="s">
        <v>87</v>
      </c>
      <c r="C75" s="242"/>
      <c r="D75" s="242"/>
      <c r="E75" s="242"/>
      <c r="F75" s="143"/>
    </row>
    <row r="76" spans="1:6" ht="92.4">
      <c r="A76" s="224"/>
      <c r="B76" s="243" t="s">
        <v>88</v>
      </c>
      <c r="C76" s="242"/>
      <c r="D76" s="242"/>
      <c r="E76" s="242"/>
      <c r="F76" s="143"/>
    </row>
    <row r="77" spans="1:6" ht="132">
      <c r="A77" s="224"/>
      <c r="B77" s="243" t="s">
        <v>219</v>
      </c>
      <c r="C77" s="242"/>
      <c r="D77" s="242"/>
      <c r="E77" s="242"/>
      <c r="F77" s="143"/>
    </row>
    <row r="78" spans="1:6" ht="26.4">
      <c r="A78" s="224"/>
      <c r="B78" s="243" t="s">
        <v>89</v>
      </c>
      <c r="C78" s="242"/>
      <c r="D78" s="242"/>
      <c r="E78" s="242"/>
      <c r="F78" s="143"/>
    </row>
    <row r="79" spans="1:6" ht="12.75" customHeight="1">
      <c r="A79" s="241"/>
      <c r="B79" s="240" t="s">
        <v>218</v>
      </c>
      <c r="C79" s="239" t="s">
        <v>77</v>
      </c>
      <c r="D79" s="300">
        <v>1406.8</v>
      </c>
      <c r="E79" s="237"/>
      <c r="F79" s="128">
        <f>D79*E79</f>
        <v>0</v>
      </c>
    </row>
    <row r="80" spans="1:6" ht="9.9" customHeight="1">
      <c r="A80" s="145"/>
      <c r="B80" s="145"/>
      <c r="C80" s="145"/>
      <c r="D80" s="145"/>
      <c r="E80" s="145"/>
      <c r="F80" s="145"/>
    </row>
    <row r="81" spans="1:6" ht="19.5" customHeight="1" thickBot="1">
      <c r="A81" s="341" t="s">
        <v>76</v>
      </c>
      <c r="B81" s="342"/>
      <c r="C81" s="342"/>
      <c r="D81" s="342"/>
      <c r="E81" s="343"/>
      <c r="F81" s="140">
        <f>SUM(F78:F79)</f>
        <v>0</v>
      </c>
    </row>
    <row r="82" spans="1:6" ht="9.9" customHeight="1" thickTop="1" thickBot="1">
      <c r="A82" s="141"/>
      <c r="B82" s="141"/>
      <c r="C82" s="141"/>
      <c r="D82" s="141"/>
      <c r="E82" s="141"/>
      <c r="F82" s="141"/>
    </row>
    <row r="83" spans="1:6" ht="19.5" customHeight="1" thickTop="1" thickBot="1">
      <c r="A83" s="159" t="s">
        <v>35</v>
      </c>
      <c r="B83" s="323" t="s">
        <v>132</v>
      </c>
      <c r="C83" s="324"/>
      <c r="D83" s="324"/>
      <c r="E83" s="324"/>
      <c r="F83" s="345"/>
    </row>
    <row r="84" spans="1:6" ht="66.599999999999994" thickTop="1">
      <c r="A84" s="186" t="s">
        <v>63</v>
      </c>
      <c r="B84" s="236" t="s">
        <v>136</v>
      </c>
      <c r="C84" s="235"/>
      <c r="D84" s="234"/>
      <c r="E84" s="234"/>
      <c r="F84" s="146"/>
    </row>
    <row r="85" spans="1:6" ht="171.6">
      <c r="A85" s="224"/>
      <c r="B85" s="236" t="s">
        <v>137</v>
      </c>
      <c r="C85" s="235"/>
      <c r="D85" s="234"/>
      <c r="E85" s="234"/>
      <c r="F85" s="146"/>
    </row>
    <row r="86" spans="1:6" ht="26.4">
      <c r="A86" s="224"/>
      <c r="B86" s="236" t="s">
        <v>138</v>
      </c>
      <c r="C86" s="235"/>
      <c r="D86" s="234"/>
      <c r="E86" s="234"/>
      <c r="F86" s="146"/>
    </row>
    <row r="87" spans="1:6" ht="26.4">
      <c r="A87" s="224"/>
      <c r="B87" s="236" t="s">
        <v>134</v>
      </c>
      <c r="C87" s="235"/>
      <c r="D87" s="234"/>
      <c r="E87" s="234"/>
      <c r="F87" s="146"/>
    </row>
    <row r="88" spans="1:6" ht="118.8">
      <c r="A88" s="224"/>
      <c r="B88" s="236" t="s">
        <v>139</v>
      </c>
      <c r="C88" s="235"/>
      <c r="D88" s="234"/>
      <c r="E88" s="234"/>
      <c r="F88" s="146"/>
    </row>
    <row r="89" spans="1:6" ht="105.6">
      <c r="A89" s="224"/>
      <c r="B89" s="236" t="s">
        <v>140</v>
      </c>
      <c r="C89" s="235"/>
      <c r="D89" s="234"/>
      <c r="E89" s="234"/>
      <c r="F89" s="147"/>
    </row>
    <row r="90" spans="1:6" ht="52.8">
      <c r="A90" s="224"/>
      <c r="B90" s="223" t="s">
        <v>141</v>
      </c>
      <c r="C90" s="233"/>
      <c r="D90" s="232"/>
      <c r="E90" s="223"/>
      <c r="F90" s="148"/>
    </row>
    <row r="91" spans="1:6" ht="12.75" customHeight="1">
      <c r="A91" s="181"/>
      <c r="B91" s="206" t="s">
        <v>142</v>
      </c>
      <c r="C91" s="179" t="s">
        <v>135</v>
      </c>
      <c r="D91" s="178">
        <f>3.6*4.65</f>
        <v>16.740000000000002</v>
      </c>
      <c r="E91" s="168"/>
      <c r="F91" s="128">
        <f>D91*E91</f>
        <v>0</v>
      </c>
    </row>
    <row r="92" spans="1:6" ht="12.75" customHeight="1">
      <c r="A92" s="231"/>
      <c r="B92" s="230" t="s">
        <v>143</v>
      </c>
      <c r="C92" s="229"/>
      <c r="D92" s="229"/>
      <c r="E92" s="229"/>
      <c r="F92" s="129"/>
    </row>
    <row r="93" spans="1:6" ht="12.75" customHeight="1">
      <c r="A93" s="195"/>
      <c r="B93" s="228" t="s">
        <v>217</v>
      </c>
      <c r="C93" s="193" t="s">
        <v>135</v>
      </c>
      <c r="D93" s="192">
        <f>0.4*(3.65+4.65)*2</f>
        <v>6.6400000000000006</v>
      </c>
      <c r="E93" s="191"/>
      <c r="F93" s="130">
        <f>D93*E93</f>
        <v>0</v>
      </c>
    </row>
    <row r="94" spans="1:6" ht="10.5" customHeight="1">
      <c r="A94" s="217"/>
      <c r="B94" s="218"/>
      <c r="C94" s="218"/>
      <c r="D94" s="218"/>
      <c r="E94" s="218"/>
      <c r="F94" s="150"/>
    </row>
    <row r="95" spans="1:6" ht="18.75" customHeight="1" thickBot="1">
      <c r="A95" s="341" t="s">
        <v>133</v>
      </c>
      <c r="B95" s="342"/>
      <c r="C95" s="342"/>
      <c r="D95" s="342"/>
      <c r="E95" s="343"/>
      <c r="F95" s="140">
        <f>SUM(F84:F93)</f>
        <v>0</v>
      </c>
    </row>
    <row r="96" spans="1:6" ht="10.5" customHeight="1" thickTop="1" thickBot="1">
      <c r="A96" s="141"/>
      <c r="B96" s="141"/>
      <c r="C96" s="141"/>
      <c r="D96" s="141"/>
      <c r="E96" s="141"/>
      <c r="F96" s="141"/>
    </row>
    <row r="97" spans="1:6" ht="18" customHeight="1" thickTop="1" thickBot="1">
      <c r="A97" s="159" t="s">
        <v>36</v>
      </c>
      <c r="B97" s="323" t="s">
        <v>57</v>
      </c>
      <c r="C97" s="324"/>
      <c r="D97" s="324"/>
      <c r="E97" s="324"/>
      <c r="F97" s="345"/>
    </row>
    <row r="98" spans="1:6" ht="53.4" thickTop="1">
      <c r="A98" s="177" t="s">
        <v>33</v>
      </c>
      <c r="B98" s="220" t="s">
        <v>84</v>
      </c>
      <c r="C98" s="219"/>
      <c r="D98" s="219"/>
      <c r="E98" s="219"/>
      <c r="F98" s="151"/>
    </row>
    <row r="99" spans="1:6" ht="12.75" customHeight="1">
      <c r="A99" s="217"/>
      <c r="B99" s="218" t="s">
        <v>58</v>
      </c>
      <c r="C99" s="218"/>
      <c r="D99" s="218"/>
      <c r="E99" s="218"/>
      <c r="F99" s="150"/>
    </row>
    <row r="100" spans="1:6" ht="12.75" customHeight="1">
      <c r="A100" s="214"/>
      <c r="B100" s="213" t="s">
        <v>59</v>
      </c>
      <c r="C100" s="213"/>
      <c r="D100" s="213"/>
      <c r="E100" s="213"/>
      <c r="F100" s="152"/>
    </row>
    <row r="101" spans="1:6" ht="12.75" customHeight="1">
      <c r="A101" s="217"/>
      <c r="B101" s="216" t="s">
        <v>216</v>
      </c>
      <c r="C101" s="193" t="s">
        <v>13</v>
      </c>
      <c r="D101" s="274">
        <f>(2.3+2.1)/2*14.4</f>
        <v>31.680000000000003</v>
      </c>
      <c r="E101" s="210"/>
      <c r="F101" s="130">
        <f>D101*E101</f>
        <v>0</v>
      </c>
    </row>
    <row r="102" spans="1:6" ht="12.75" customHeight="1">
      <c r="A102" s="214"/>
      <c r="B102" s="213" t="s">
        <v>60</v>
      </c>
      <c r="C102" s="170"/>
      <c r="D102" s="170"/>
      <c r="E102" s="208"/>
      <c r="F102" s="137"/>
    </row>
    <row r="103" spans="1:6" ht="12.75" customHeight="1">
      <c r="A103" s="207"/>
      <c r="B103" s="212" t="s">
        <v>215</v>
      </c>
      <c r="C103" s="184" t="s">
        <v>13</v>
      </c>
      <c r="D103" s="211">
        <f>12.76+6.45*7</f>
        <v>57.91</v>
      </c>
      <c r="E103" s="210"/>
      <c r="F103" s="138">
        <f>D103*E103</f>
        <v>0</v>
      </c>
    </row>
    <row r="104" spans="1:6" ht="211.2">
      <c r="A104" s="172" t="s">
        <v>214</v>
      </c>
      <c r="B104" s="209" t="s">
        <v>213</v>
      </c>
      <c r="C104" s="170"/>
      <c r="D104" s="170"/>
      <c r="E104" s="208"/>
      <c r="F104" s="137"/>
    </row>
    <row r="105" spans="1:6" ht="26.4">
      <c r="A105" s="207"/>
      <c r="B105" s="204" t="s">
        <v>79</v>
      </c>
      <c r="C105" s="184"/>
      <c r="D105" s="184"/>
      <c r="E105" s="201"/>
      <c r="F105" s="138"/>
    </row>
    <row r="106" spans="1:6" ht="12.75" customHeight="1">
      <c r="A106" s="207"/>
      <c r="B106" s="202" t="s">
        <v>58</v>
      </c>
      <c r="C106" s="184"/>
      <c r="D106" s="184"/>
      <c r="E106" s="201"/>
      <c r="F106" s="138"/>
    </row>
    <row r="107" spans="1:6" ht="12.75" customHeight="1">
      <c r="A107" s="200"/>
      <c r="B107" s="180" t="s">
        <v>212</v>
      </c>
      <c r="C107" s="179" t="s">
        <v>13</v>
      </c>
      <c r="D107" s="298">
        <f>0.9*2*(5.3*6+4.5*2+7.85+6.15)</f>
        <v>98.64</v>
      </c>
      <c r="E107" s="205"/>
      <c r="F107" s="128">
        <f>D107*E107</f>
        <v>0</v>
      </c>
    </row>
    <row r="108" spans="1:6" ht="237.6">
      <c r="A108" s="186" t="s">
        <v>211</v>
      </c>
      <c r="B108" s="299" t="s">
        <v>210</v>
      </c>
      <c r="C108" s="202"/>
      <c r="D108" s="202"/>
      <c r="E108" s="201"/>
      <c r="F108" s="153"/>
    </row>
    <row r="109" spans="1:6">
      <c r="A109" s="203"/>
      <c r="B109" s="202" t="s">
        <v>58</v>
      </c>
      <c r="C109" s="202"/>
      <c r="D109" s="202"/>
      <c r="E109" s="201"/>
      <c r="F109" s="153"/>
    </row>
    <row r="110" spans="1:6">
      <c r="A110" s="200"/>
      <c r="B110" s="180" t="s">
        <v>209</v>
      </c>
      <c r="C110" s="179" t="s">
        <v>13</v>
      </c>
      <c r="D110" s="298">
        <f>0.4*2*3.15*3</f>
        <v>7.5600000000000005</v>
      </c>
      <c r="E110" s="205"/>
      <c r="F110" s="128">
        <f>D110*E110</f>
        <v>0</v>
      </c>
    </row>
    <row r="111" spans="1:6" ht="9" customHeight="1">
      <c r="A111" s="145"/>
      <c r="B111" s="145"/>
      <c r="C111" s="145"/>
      <c r="D111" s="145"/>
      <c r="E111" s="145"/>
      <c r="F111" s="145"/>
    </row>
    <row r="112" spans="1:6" ht="19.5" customHeight="1" thickBot="1">
      <c r="A112" s="341" t="s">
        <v>37</v>
      </c>
      <c r="B112" s="342"/>
      <c r="C112" s="342"/>
      <c r="D112" s="342"/>
      <c r="E112" s="343"/>
      <c r="F112" s="140">
        <f>SUM(F99:F111)</f>
        <v>0</v>
      </c>
    </row>
    <row r="113" spans="1:6" ht="9.9" customHeight="1" thickTop="1" thickBot="1">
      <c r="A113" s="141"/>
      <c r="B113" s="141"/>
      <c r="C113" s="141"/>
      <c r="D113" s="141"/>
      <c r="E113" s="141"/>
      <c r="F113" s="141"/>
    </row>
    <row r="114" spans="1:6" ht="20.100000000000001" customHeight="1" thickTop="1" thickBot="1">
      <c r="A114" s="159" t="s">
        <v>62</v>
      </c>
      <c r="B114" s="323" t="s">
        <v>42</v>
      </c>
      <c r="C114" s="324"/>
      <c r="D114" s="324"/>
      <c r="E114" s="324"/>
      <c r="F114" s="345"/>
    </row>
    <row r="115" spans="1:6" ht="93" thickTop="1">
      <c r="A115" s="172" t="s">
        <v>63</v>
      </c>
      <c r="B115" s="197" t="s">
        <v>54</v>
      </c>
      <c r="C115" s="170"/>
      <c r="D115" s="196"/>
      <c r="E115" s="187"/>
      <c r="F115" s="137"/>
    </row>
    <row r="116" spans="1:6" ht="38.25" customHeight="1">
      <c r="A116" s="195"/>
      <c r="B116" s="194" t="s">
        <v>53</v>
      </c>
      <c r="C116" s="193"/>
      <c r="D116" s="192"/>
      <c r="E116" s="191"/>
      <c r="F116" s="130"/>
    </row>
    <row r="117" spans="1:6">
      <c r="A117" s="186"/>
      <c r="B117" s="185" t="s">
        <v>172</v>
      </c>
      <c r="C117" s="170" t="s">
        <v>13</v>
      </c>
      <c r="D117" s="190">
        <f>0.8*0.6</f>
        <v>0.48</v>
      </c>
      <c r="E117" s="182"/>
      <c r="F117" s="138">
        <f>D117*E117</f>
        <v>0</v>
      </c>
    </row>
    <row r="118" spans="1:6" ht="51" customHeight="1">
      <c r="A118" s="172" t="s">
        <v>64</v>
      </c>
      <c r="B118" s="189" t="s">
        <v>82</v>
      </c>
      <c r="C118" s="170"/>
      <c r="D118" s="188"/>
      <c r="E118" s="187"/>
      <c r="F118" s="137"/>
    </row>
    <row r="119" spans="1:6">
      <c r="A119" s="186"/>
      <c r="B119" s="185" t="s">
        <v>61</v>
      </c>
      <c r="C119" s="184"/>
      <c r="D119" s="183"/>
      <c r="E119" s="182"/>
      <c r="F119" s="138"/>
    </row>
    <row r="120" spans="1:6">
      <c r="A120" s="181"/>
      <c r="B120" s="180" t="s">
        <v>208</v>
      </c>
      <c r="C120" s="179" t="s">
        <v>13</v>
      </c>
      <c r="D120" s="178">
        <f>(2.3+2.1)/2*(3.55*2+4.5*2)</f>
        <v>35.420000000000009</v>
      </c>
      <c r="E120" s="168"/>
      <c r="F120" s="128">
        <f>D120*E120</f>
        <v>0</v>
      </c>
    </row>
    <row r="121" spans="1:6" ht="9.9" customHeight="1">
      <c r="A121" s="139"/>
      <c r="B121" s="139"/>
      <c r="C121" s="139"/>
      <c r="D121" s="139"/>
      <c r="E121" s="139"/>
      <c r="F121" s="139"/>
    </row>
    <row r="122" spans="1:6" ht="20.100000000000001" customHeight="1" thickBot="1">
      <c r="A122" s="341" t="s">
        <v>65</v>
      </c>
      <c r="B122" s="342"/>
      <c r="C122" s="342"/>
      <c r="D122" s="342"/>
      <c r="E122" s="343"/>
      <c r="F122" s="140">
        <f>SUM(F115:F120)</f>
        <v>0</v>
      </c>
    </row>
    <row r="123" spans="1:6" ht="9.9" customHeight="1" thickTop="1" thickBot="1">
      <c r="A123" s="141"/>
      <c r="B123" s="141"/>
      <c r="C123" s="141"/>
      <c r="D123" s="141"/>
      <c r="E123" s="141"/>
      <c r="F123" s="141"/>
    </row>
    <row r="124" spans="1:6" ht="20.100000000000001" customHeight="1" thickTop="1" thickBot="1">
      <c r="A124" s="159" t="s">
        <v>55</v>
      </c>
      <c r="B124" s="323" t="s">
        <v>207</v>
      </c>
      <c r="C124" s="348"/>
      <c r="D124" s="348"/>
      <c r="E124" s="348"/>
      <c r="F124" s="349"/>
    </row>
    <row r="125" spans="1:6" ht="66.599999999999994" thickTop="1">
      <c r="A125" s="177" t="s">
        <v>56</v>
      </c>
      <c r="B125" s="293" t="s">
        <v>206</v>
      </c>
      <c r="C125" s="175"/>
      <c r="D125" s="174"/>
      <c r="E125" s="173"/>
      <c r="F125" s="154"/>
    </row>
    <row r="126" spans="1:6" ht="105.6">
      <c r="A126" s="186"/>
      <c r="B126" s="293" t="s">
        <v>205</v>
      </c>
      <c r="C126" s="184"/>
      <c r="D126" s="290"/>
      <c r="E126" s="182"/>
      <c r="F126" s="138"/>
    </row>
    <row r="127" spans="1:6" ht="39.6">
      <c r="A127" s="186"/>
      <c r="B127" s="243" t="s">
        <v>204</v>
      </c>
      <c r="C127" s="184"/>
      <c r="D127" s="290"/>
      <c r="E127" s="182"/>
      <c r="F127" s="138"/>
    </row>
    <row r="128" spans="1:6" ht="66">
      <c r="A128" s="186"/>
      <c r="B128" s="297" t="s">
        <v>203</v>
      </c>
      <c r="C128" s="184"/>
      <c r="D128" s="290"/>
      <c r="E128" s="182"/>
      <c r="F128" s="138"/>
    </row>
    <row r="129" spans="1:6" ht="66">
      <c r="A129" s="186"/>
      <c r="B129" s="296" t="s">
        <v>202</v>
      </c>
      <c r="C129" s="184"/>
      <c r="D129" s="290"/>
      <c r="E129" s="182"/>
      <c r="F129" s="138"/>
    </row>
    <row r="130" spans="1:6" ht="39.6">
      <c r="A130" s="186"/>
      <c r="B130" s="295" t="s">
        <v>201</v>
      </c>
      <c r="C130" s="184"/>
      <c r="D130" s="290"/>
      <c r="E130" s="182"/>
      <c r="F130" s="138"/>
    </row>
    <row r="131" spans="1:6">
      <c r="A131" s="172"/>
      <c r="B131" s="180" t="s">
        <v>200</v>
      </c>
      <c r="C131" s="179" t="s">
        <v>13</v>
      </c>
      <c r="D131" s="289">
        <f>15.45*(2.97*2+2.11)</f>
        <v>124.3725</v>
      </c>
      <c r="E131" s="294"/>
      <c r="F131" s="128">
        <f>D131*E131</f>
        <v>0</v>
      </c>
    </row>
    <row r="132" spans="1:6" ht="39.6">
      <c r="A132" s="172" t="s">
        <v>157</v>
      </c>
      <c r="B132" s="293" t="s">
        <v>199</v>
      </c>
      <c r="C132" s="184"/>
      <c r="D132" s="290"/>
      <c r="E132" s="182"/>
      <c r="F132" s="138"/>
    </row>
    <row r="133" spans="1:6" ht="132">
      <c r="A133" s="186"/>
      <c r="B133" s="243" t="s">
        <v>198</v>
      </c>
      <c r="C133" s="184"/>
      <c r="D133" s="290"/>
      <c r="E133" s="182"/>
      <c r="F133" s="138"/>
    </row>
    <row r="134" spans="1:6" ht="26.4">
      <c r="A134" s="186"/>
      <c r="B134" s="292" t="s">
        <v>197</v>
      </c>
      <c r="C134" s="184"/>
      <c r="D134" s="290"/>
      <c r="E134" s="182"/>
      <c r="F134" s="138"/>
    </row>
    <row r="135" spans="1:6" ht="39.6">
      <c r="A135" s="186"/>
      <c r="B135" s="291" t="s">
        <v>196</v>
      </c>
      <c r="C135" s="184"/>
      <c r="D135" s="290"/>
      <c r="E135" s="182"/>
      <c r="F135" s="138"/>
    </row>
    <row r="136" spans="1:6">
      <c r="A136" s="181"/>
      <c r="B136" s="180" t="s">
        <v>195</v>
      </c>
      <c r="C136" s="179" t="s">
        <v>13</v>
      </c>
      <c r="D136" s="289">
        <f>0.5*3.1+2*(1.48*2+0.28)</f>
        <v>8.0300000000000011</v>
      </c>
      <c r="E136" s="168"/>
      <c r="F136" s="128">
        <f>D136*E136</f>
        <v>0</v>
      </c>
    </row>
    <row r="137" spans="1:6" ht="52.8">
      <c r="A137" s="360" t="s">
        <v>194</v>
      </c>
      <c r="B137" s="288" t="s">
        <v>193</v>
      </c>
      <c r="C137" s="363"/>
      <c r="D137" s="366"/>
      <c r="E137" s="366"/>
      <c r="F137" s="366"/>
    </row>
    <row r="138" spans="1:6" ht="66">
      <c r="A138" s="361"/>
      <c r="B138" s="287" t="s">
        <v>192</v>
      </c>
      <c r="C138" s="364"/>
      <c r="D138" s="367"/>
      <c r="E138" s="367"/>
      <c r="F138" s="367"/>
    </row>
    <row r="139" spans="1:6" ht="52.8">
      <c r="A139" s="361"/>
      <c r="B139" s="287" t="s">
        <v>191</v>
      </c>
      <c r="C139" s="364"/>
      <c r="D139" s="367"/>
      <c r="E139" s="367"/>
      <c r="F139" s="367"/>
    </row>
    <row r="140" spans="1:6" ht="26.4">
      <c r="A140" s="361"/>
      <c r="B140" s="287" t="s">
        <v>190</v>
      </c>
      <c r="C140" s="364"/>
      <c r="D140" s="367"/>
      <c r="E140" s="367"/>
      <c r="F140" s="367"/>
    </row>
    <row r="141" spans="1:6" ht="52.8">
      <c r="A141" s="361"/>
      <c r="B141" s="287" t="s">
        <v>189</v>
      </c>
      <c r="C141" s="364"/>
      <c r="D141" s="367"/>
      <c r="E141" s="367"/>
      <c r="F141" s="367"/>
    </row>
    <row r="142" spans="1:6" ht="52.8">
      <c r="A142" s="361"/>
      <c r="B142" s="287" t="s">
        <v>188</v>
      </c>
      <c r="C142" s="364"/>
      <c r="D142" s="367"/>
      <c r="E142" s="367"/>
      <c r="F142" s="367"/>
    </row>
    <row r="143" spans="1:6" ht="79.2">
      <c r="A143" s="362"/>
      <c r="B143" s="287" t="s">
        <v>187</v>
      </c>
      <c r="C143" s="365"/>
      <c r="D143" s="368"/>
      <c r="E143" s="368"/>
      <c r="F143" s="368"/>
    </row>
    <row r="144" spans="1:6" ht="16.5" customHeight="1">
      <c r="A144" s="286"/>
      <c r="B144" s="171" t="s">
        <v>31</v>
      </c>
      <c r="C144" s="179" t="s">
        <v>13</v>
      </c>
      <c r="D144" s="169">
        <v>200</v>
      </c>
      <c r="E144" s="168"/>
      <c r="F144" s="168">
        <f>D144*E144</f>
        <v>0</v>
      </c>
    </row>
    <row r="145" spans="1:6" ht="12" customHeight="1" thickBot="1">
      <c r="A145" s="341" t="s">
        <v>186</v>
      </c>
      <c r="B145" s="342"/>
      <c r="C145" s="342"/>
      <c r="D145" s="342"/>
      <c r="E145" s="343"/>
      <c r="F145" s="140">
        <f>SUM(F125:F144)</f>
        <v>0</v>
      </c>
    </row>
    <row r="146" spans="1:6" ht="18" customHeight="1" thickTop="1" thickBot="1">
      <c r="A146" s="141"/>
      <c r="B146" s="141"/>
      <c r="C146" s="141"/>
      <c r="D146" s="141"/>
      <c r="E146" s="141"/>
      <c r="F146" s="141"/>
    </row>
    <row r="147" spans="1:6" ht="14.4" thickTop="1" thickBot="1">
      <c r="A147" s="159" t="s">
        <v>158</v>
      </c>
      <c r="B147" s="323" t="s">
        <v>22</v>
      </c>
      <c r="C147" s="348"/>
      <c r="D147" s="348"/>
      <c r="E147" s="348"/>
      <c r="F147" s="349"/>
    </row>
    <row r="148" spans="1:6" ht="27" thickTop="1">
      <c r="A148" s="177" t="s">
        <v>159</v>
      </c>
      <c r="B148" s="176" t="s">
        <v>83</v>
      </c>
      <c r="C148" s="175"/>
      <c r="D148" s="174"/>
      <c r="E148" s="173"/>
      <c r="F148" s="154"/>
    </row>
    <row r="149" spans="1:6" ht="15" customHeight="1">
      <c r="A149" s="172"/>
      <c r="B149" s="171" t="s">
        <v>31</v>
      </c>
      <c r="C149" s="170" t="s">
        <v>13</v>
      </c>
      <c r="D149" s="169">
        <f>12.76+2.9*1*8</f>
        <v>35.96</v>
      </c>
      <c r="E149" s="168"/>
      <c r="F149" s="128">
        <f>D149*E149</f>
        <v>0</v>
      </c>
    </row>
    <row r="150" spans="1:6" ht="20.100000000000001" customHeight="1">
      <c r="A150" s="139"/>
      <c r="B150" s="139"/>
      <c r="C150" s="139"/>
      <c r="D150" s="139"/>
      <c r="E150" s="139"/>
      <c r="F150" s="139"/>
    </row>
    <row r="151" spans="1:6" ht="19.8" customHeight="1" thickBot="1">
      <c r="A151" s="341" t="s">
        <v>38</v>
      </c>
      <c r="B151" s="342"/>
      <c r="C151" s="342"/>
      <c r="D151" s="342"/>
      <c r="E151" s="343"/>
      <c r="F151" s="140">
        <f>SUM(F149:F150)</f>
        <v>0</v>
      </c>
    </row>
    <row r="152" spans="1:6" ht="13.8" thickTop="1"/>
    <row r="153" spans="1:6" ht="39.75" customHeight="1"/>
    <row r="154" spans="1:6" ht="60" customHeight="1">
      <c r="A154" s="344" t="s">
        <v>330</v>
      </c>
      <c r="B154" s="344"/>
      <c r="C154" s="344"/>
      <c r="D154" s="344"/>
      <c r="E154" s="344"/>
      <c r="F154" s="344"/>
    </row>
    <row r="155" spans="1:6" ht="13.8" thickBot="1"/>
    <row r="156" spans="1:6" ht="16.8" thickTop="1" thickBot="1">
      <c r="A156" s="350" t="s">
        <v>40</v>
      </c>
      <c r="B156" s="351"/>
      <c r="C156" s="351"/>
      <c r="D156" s="351"/>
      <c r="E156" s="351"/>
      <c r="F156" s="352"/>
    </row>
    <row r="157" spans="1:6" ht="20.25" customHeight="1" thickTop="1" thickBot="1"/>
    <row r="158" spans="1:6" ht="20.100000000000001" customHeight="1" thickTop="1" thickBot="1">
      <c r="A158" s="159" t="s">
        <v>23</v>
      </c>
      <c r="B158" s="160" t="s">
        <v>24</v>
      </c>
      <c r="C158" s="161"/>
      <c r="D158" s="161"/>
      <c r="E158" s="161"/>
      <c r="F158" s="156"/>
    </row>
    <row r="159" spans="1:6" ht="20.100000000000001" customHeight="1" thickTop="1" thickBot="1">
      <c r="A159" s="159" t="str">
        <f>A9</f>
        <v>01.01.00.</v>
      </c>
      <c r="B159" s="323" t="str">
        <f>B9</f>
        <v>ДЕМОНТАЖНИ РАДОВИ</v>
      </c>
      <c r="C159" s="324"/>
      <c r="D159" s="324"/>
      <c r="E159" s="325"/>
      <c r="F159" s="157">
        <f>F37</f>
        <v>0</v>
      </c>
    </row>
    <row r="160" spans="1:6" ht="20.100000000000001" customHeight="1" thickTop="1" thickBot="1">
      <c r="A160" s="159" t="str">
        <f>A39</f>
        <v>01.02.00.</v>
      </c>
      <c r="B160" s="163" t="str">
        <f>B39</f>
        <v>ЗИДАРСКИ РАДОВИ</v>
      </c>
      <c r="C160" s="164"/>
      <c r="D160" s="164"/>
      <c r="E160" s="165"/>
      <c r="F160" s="157">
        <f>F56</f>
        <v>0</v>
      </c>
    </row>
    <row r="161" spans="1:6" ht="20.100000000000001" customHeight="1" thickTop="1" thickBot="1">
      <c r="A161" s="159" t="str">
        <f>A58</f>
        <v>01.03.00.</v>
      </c>
      <c r="B161" s="323" t="str">
        <f>B58</f>
        <v>БРАВАРСКИ РАДОВИ</v>
      </c>
      <c r="C161" s="324"/>
      <c r="D161" s="324"/>
      <c r="E161" s="325"/>
      <c r="F161" s="157">
        <f>F71</f>
        <v>0</v>
      </c>
    </row>
    <row r="162" spans="1:6" ht="20.100000000000001" customHeight="1" thickTop="1" thickBot="1">
      <c r="A162" s="159" t="str">
        <f>A73</f>
        <v>01.04.00.</v>
      </c>
      <c r="B162" s="163" t="str">
        <f>B73</f>
        <v>ЧЕЛИЧНА КОНСТРУКЦИЈА</v>
      </c>
      <c r="C162" s="164"/>
      <c r="D162" s="164"/>
      <c r="E162" s="165"/>
      <c r="F162" s="157">
        <f>F81</f>
        <v>0</v>
      </c>
    </row>
    <row r="163" spans="1:6" ht="20.100000000000001" customHeight="1" thickTop="1" thickBot="1">
      <c r="A163" s="159" t="str">
        <f>A83</f>
        <v>01.05.00.</v>
      </c>
      <c r="B163" s="163" t="str">
        <f>B83</f>
        <v>ЛИМАРСКИ РАДОВИ</v>
      </c>
      <c r="C163" s="164"/>
      <c r="D163" s="164"/>
      <c r="E163" s="165"/>
      <c r="F163" s="157">
        <f>F95</f>
        <v>0</v>
      </c>
    </row>
    <row r="164" spans="1:6" ht="20.100000000000001" customHeight="1" thickTop="1" thickBot="1">
      <c r="A164" s="159" t="str">
        <f>A97</f>
        <v>01.06.00.</v>
      </c>
      <c r="B164" s="163" t="str">
        <f>B97</f>
        <v>МОЛЕРСКО ФАРБАРСКИ РАДОВИ</v>
      </c>
      <c r="C164" s="164"/>
      <c r="D164" s="164"/>
      <c r="E164" s="165"/>
      <c r="F164" s="157">
        <f>F112</f>
        <v>0</v>
      </c>
    </row>
    <row r="165" spans="1:6" ht="20.100000000000001" customHeight="1" thickTop="1" thickBot="1">
      <c r="A165" s="159" t="str">
        <f>A114</f>
        <v>01.07.00.</v>
      </c>
      <c r="B165" s="323" t="str">
        <f>B114</f>
        <v>ФАСАДЕРСКИ РАДОВИ</v>
      </c>
      <c r="C165" s="324"/>
      <c r="D165" s="324"/>
      <c r="E165" s="325"/>
      <c r="F165" s="157">
        <f>F122</f>
        <v>0</v>
      </c>
    </row>
    <row r="166" spans="1:6" ht="20.100000000000001" customHeight="1" thickTop="1" thickBot="1">
      <c r="A166" s="159" t="str">
        <f>A124</f>
        <v>01.08.00.</v>
      </c>
      <c r="B166" s="323" t="str">
        <f>B124</f>
        <v>СУВОМОНТАЖНИ РАДОВИ</v>
      </c>
      <c r="C166" s="324"/>
      <c r="D166" s="324"/>
      <c r="E166" s="325"/>
      <c r="F166" s="157">
        <f>F145</f>
        <v>0</v>
      </c>
    </row>
    <row r="167" spans="1:6" ht="20.100000000000001" customHeight="1" thickTop="1" thickBot="1">
      <c r="A167" s="166" t="str">
        <f>A147</f>
        <v>01.09.00.</v>
      </c>
      <c r="B167" s="163" t="str">
        <f>B147</f>
        <v>РАЗНИ РАДОВИ</v>
      </c>
      <c r="C167" s="164"/>
      <c r="D167" s="164"/>
      <c r="E167" s="165"/>
      <c r="F167" s="158">
        <f>F151</f>
        <v>0</v>
      </c>
    </row>
    <row r="168" spans="1:6" ht="17.399999999999999" customHeight="1" thickTop="1" thickBot="1">
      <c r="A168" s="166"/>
      <c r="B168" s="164"/>
      <c r="C168" s="164"/>
      <c r="D168" s="346" t="s">
        <v>41</v>
      </c>
      <c r="E168" s="347"/>
      <c r="F168" s="158">
        <f>SUM(F159:F167)</f>
        <v>0</v>
      </c>
    </row>
    <row r="169" spans="1:6" ht="13.5" customHeight="1" thickTop="1">
      <c r="A169" s="285"/>
      <c r="B169" s="284"/>
      <c r="C169" s="283"/>
      <c r="D169" s="282"/>
      <c r="E169" s="282"/>
      <c r="F169" s="281"/>
    </row>
    <row r="170" spans="1:6" ht="13.5" customHeight="1">
      <c r="A170" s="280"/>
      <c r="B170" s="279"/>
      <c r="D170" s="278"/>
      <c r="E170" s="278"/>
      <c r="F170" s="277"/>
    </row>
  </sheetData>
  <sheetProtection algorithmName="SHA-512" hashValue="7E8bCeG1gZacSvxw9D2+O6mM03PxQrCEfzUmQG4sSNNwcDOS+WrWlSHsIAuEIhGogTmOa2uEhUKy3omfXRHK8Q==" saltValue="V2tpH+9wCcfp/xslAmEvTw==" spinCount="100000" sheet="1" formatCells="0" formatColumns="0" formatRows="0" insertColumns="0" insertRows="0" insertHyperlinks="0" deleteColumns="0" deleteRows="0" sort="0" autoFilter="0" pivotTables="0"/>
  <protectedRanges>
    <protectedRange sqref="E1:E1048576" name="Range1"/>
  </protectedRanges>
  <mergeCells count="36">
    <mergeCell ref="D168:E168"/>
    <mergeCell ref="A156:F156"/>
    <mergeCell ref="B166:E166"/>
    <mergeCell ref="A2:F2"/>
    <mergeCell ref="B9:F9"/>
    <mergeCell ref="A6:A7"/>
    <mergeCell ref="B6:B7"/>
    <mergeCell ref="C6:C7"/>
    <mergeCell ref="A37:E37"/>
    <mergeCell ref="A56:E56"/>
    <mergeCell ref="B58:F58"/>
    <mergeCell ref="A71:E71"/>
    <mergeCell ref="A154:F154"/>
    <mergeCell ref="B114:F114"/>
    <mergeCell ref="B73:F73"/>
    <mergeCell ref="A81:E81"/>
    <mergeCell ref="A3:F3"/>
    <mergeCell ref="A4:F4"/>
    <mergeCell ref="A151:E151"/>
    <mergeCell ref="B83:F83"/>
    <mergeCell ref="A112:E112"/>
    <mergeCell ref="A122:E122"/>
    <mergeCell ref="A145:E145"/>
    <mergeCell ref="B147:F147"/>
    <mergeCell ref="A95:E95"/>
    <mergeCell ref="B97:F97"/>
    <mergeCell ref="A137:A143"/>
    <mergeCell ref="C137:C143"/>
    <mergeCell ref="D137:D143"/>
    <mergeCell ref="E137:E143"/>
    <mergeCell ref="F137:F143"/>
    <mergeCell ref="B165:E165"/>
    <mergeCell ref="B161:E161"/>
    <mergeCell ref="B159:E159"/>
    <mergeCell ref="B124:F124"/>
    <mergeCell ref="B39:F39"/>
  </mergeCells>
  <pageMargins left="0.90551181102362199" right="0.196850393700787" top="0.39370078740157499" bottom="0.39370078740157499" header="0" footer="0.196850393700787"/>
  <pageSetup paperSize="9" orientation="portrait" r:id="rId1"/>
  <headerFooter>
    <oddFooter xml:space="preserve">&amp;R&amp;"Arial,Regular"&amp;9Страна  &amp;"Arial,Bold"&amp;P&amp;"Arial,Regular"  од  &amp;N  </oddFooter>
  </headerFooter>
  <rowBreaks count="11" manualBreakCount="11">
    <brk id="25" max="16383" man="1"/>
    <brk id="37" max="16383" man="1"/>
    <brk id="56" max="16383" man="1"/>
    <brk id="71" max="16383" man="1"/>
    <brk id="81" max="16383" man="1"/>
    <brk id="95" max="16383" man="1"/>
    <brk id="112" max="16383" man="1"/>
    <brk id="122" max="16383" man="1"/>
    <brk id="138" max="5" man="1"/>
    <brk id="145" max="5" man="1"/>
    <brk id="151"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318CB7-8327-4142-8E67-0DA50A6B9AF9}">
  <dimension ref="A1:G145"/>
  <sheetViews>
    <sheetView showGridLines="0" showZeros="0" view="pageBreakPreview" zoomScaleNormal="100" zoomScaleSheetLayoutView="100" workbookViewId="0">
      <selection activeCell="A3" sqref="A3:F3"/>
    </sheetView>
  </sheetViews>
  <sheetFormatPr defaultColWidth="9.109375" defaultRowHeight="13.2"/>
  <cols>
    <col min="1" max="1" width="9.6640625" style="131" customWidth="1"/>
    <col min="2" max="2" width="36.44140625" style="131" customWidth="1"/>
    <col min="3" max="3" width="5.6640625" style="131" customWidth="1"/>
    <col min="4" max="4" width="9.6640625" style="131" customWidth="1"/>
    <col min="5" max="5" width="15.33203125" style="131" customWidth="1"/>
    <col min="6" max="6" width="15.6640625" style="131" customWidth="1"/>
    <col min="7" max="7" width="1.6640625" style="131" customWidth="1"/>
    <col min="8" max="8" width="13.109375" style="162" customWidth="1"/>
    <col min="9" max="16384" width="9.109375" style="162"/>
  </cols>
  <sheetData>
    <row r="1" spans="1:6" ht="7.5" customHeight="1"/>
    <row r="2" spans="1:6" ht="15.6">
      <c r="A2" s="353" t="s">
        <v>0</v>
      </c>
      <c r="B2" s="353"/>
      <c r="C2" s="353"/>
      <c r="D2" s="353"/>
      <c r="E2" s="353"/>
      <c r="F2" s="353"/>
    </row>
    <row r="3" spans="1:6" ht="45.75" customHeight="1">
      <c r="A3" s="344" t="s">
        <v>332</v>
      </c>
      <c r="B3" s="344"/>
      <c r="C3" s="344"/>
      <c r="D3" s="344"/>
      <c r="E3" s="344"/>
      <c r="F3" s="344"/>
    </row>
    <row r="4" spans="1:6">
      <c r="A4" s="358" t="s">
        <v>39</v>
      </c>
      <c r="B4" s="359"/>
      <c r="C4" s="359"/>
      <c r="D4" s="359"/>
      <c r="E4" s="359"/>
      <c r="F4" s="359"/>
    </row>
    <row r="5" spans="1:6" ht="4.5" customHeight="1" thickBot="1"/>
    <row r="6" spans="1:6" ht="27.6" thickTop="1" thickBot="1">
      <c r="A6" s="354" t="s">
        <v>1</v>
      </c>
      <c r="B6" s="356" t="s">
        <v>4</v>
      </c>
      <c r="C6" s="356" t="s">
        <v>10</v>
      </c>
      <c r="D6" s="273" t="s">
        <v>2</v>
      </c>
      <c r="E6" s="273" t="s">
        <v>5</v>
      </c>
      <c r="F6" s="132" t="s">
        <v>6</v>
      </c>
    </row>
    <row r="7" spans="1:6" ht="14.4" thickTop="1" thickBot="1">
      <c r="A7" s="355"/>
      <c r="B7" s="357"/>
      <c r="C7" s="357"/>
      <c r="D7" s="272" t="s">
        <v>7</v>
      </c>
      <c r="E7" s="272" t="s">
        <v>8</v>
      </c>
      <c r="F7" s="133" t="s">
        <v>9</v>
      </c>
    </row>
    <row r="8" spans="1:6" ht="9.9" customHeight="1" thickTop="1" thickBot="1">
      <c r="A8" s="271"/>
      <c r="B8" s="271"/>
      <c r="C8" s="271"/>
      <c r="D8" s="134"/>
      <c r="E8" s="134"/>
      <c r="F8" s="134"/>
    </row>
    <row r="9" spans="1:6" ht="20.100000000000001" customHeight="1" thickTop="1" thickBot="1">
      <c r="A9" s="159" t="s">
        <v>25</v>
      </c>
      <c r="B9" s="323" t="s">
        <v>12</v>
      </c>
      <c r="C9" s="348"/>
      <c r="D9" s="348"/>
      <c r="E9" s="348"/>
      <c r="F9" s="349"/>
    </row>
    <row r="10" spans="1:6" ht="12.75" customHeight="1" thickTop="1">
      <c r="A10" s="270"/>
      <c r="B10" s="219" t="s">
        <v>45</v>
      </c>
      <c r="C10" s="269"/>
      <c r="D10" s="269"/>
      <c r="E10" s="269"/>
      <c r="F10" s="135"/>
    </row>
    <row r="11" spans="1:6" ht="102" customHeight="1">
      <c r="A11" s="224"/>
      <c r="B11" s="243" t="s">
        <v>46</v>
      </c>
      <c r="C11" s="268"/>
      <c r="D11" s="268"/>
      <c r="E11" s="268"/>
      <c r="F11" s="136"/>
    </row>
    <row r="12" spans="1:6" ht="39.6">
      <c r="A12" s="172" t="s">
        <v>14</v>
      </c>
      <c r="B12" s="197" t="s">
        <v>232</v>
      </c>
      <c r="C12" s="170"/>
      <c r="D12" s="170"/>
      <c r="E12" s="187"/>
      <c r="F12" s="137"/>
    </row>
    <row r="13" spans="1:6" ht="39.6">
      <c r="A13" s="186"/>
      <c r="B13" s="225" t="s">
        <v>66</v>
      </c>
      <c r="C13" s="184"/>
      <c r="D13" s="184"/>
      <c r="E13" s="182"/>
      <c r="F13" s="138"/>
    </row>
    <row r="14" spans="1:6" ht="26.4">
      <c r="A14" s="181"/>
      <c r="B14" s="171" t="s">
        <v>247</v>
      </c>
      <c r="C14" s="179" t="s">
        <v>3</v>
      </c>
      <c r="D14" s="179">
        <v>1</v>
      </c>
      <c r="E14" s="168"/>
      <c r="F14" s="128">
        <f>D14*E14</f>
        <v>0</v>
      </c>
    </row>
    <row r="15" spans="1:6" ht="66">
      <c r="A15" s="172" t="s">
        <v>15</v>
      </c>
      <c r="B15" s="197" t="s">
        <v>170</v>
      </c>
      <c r="C15" s="170"/>
      <c r="D15" s="170"/>
      <c r="E15" s="187"/>
      <c r="F15" s="137"/>
    </row>
    <row r="16" spans="1:6" ht="26.4">
      <c r="A16" s="186"/>
      <c r="B16" s="243" t="s">
        <v>67</v>
      </c>
      <c r="C16" s="184"/>
      <c r="D16" s="184"/>
      <c r="E16" s="182"/>
      <c r="F16" s="138"/>
    </row>
    <row r="17" spans="1:6">
      <c r="A17" s="181"/>
      <c r="B17" s="171" t="s">
        <v>246</v>
      </c>
      <c r="C17" s="179" t="s">
        <v>3</v>
      </c>
      <c r="D17" s="179">
        <v>1</v>
      </c>
      <c r="E17" s="168"/>
      <c r="F17" s="128">
        <f>D17*E17</f>
        <v>0</v>
      </c>
    </row>
    <row r="18" spans="1:6" ht="66">
      <c r="A18" s="172" t="s">
        <v>16</v>
      </c>
      <c r="B18" s="189" t="s">
        <v>103</v>
      </c>
      <c r="C18" s="170"/>
      <c r="D18" s="266"/>
      <c r="E18" s="187"/>
      <c r="F18" s="137"/>
    </row>
    <row r="19" spans="1:6" ht="26.4">
      <c r="A19" s="195"/>
      <c r="B19" s="228" t="s">
        <v>69</v>
      </c>
      <c r="C19" s="193"/>
      <c r="D19" s="265"/>
      <c r="E19" s="191"/>
      <c r="F19" s="130"/>
    </row>
    <row r="20" spans="1:6">
      <c r="A20" s="181"/>
      <c r="B20" s="261" t="s">
        <v>245</v>
      </c>
      <c r="C20" s="179" t="s">
        <v>70</v>
      </c>
      <c r="D20" s="178">
        <f>0.5*(0.6*0.6*2+1.85*0.35)</f>
        <v>0.68374999999999997</v>
      </c>
      <c r="E20" s="168"/>
      <c r="F20" s="128">
        <f>D20*E20</f>
        <v>0</v>
      </c>
    </row>
    <row r="21" spans="1:6" ht="39.6">
      <c r="A21" s="172" t="s">
        <v>17</v>
      </c>
      <c r="B21" s="234" t="s">
        <v>228</v>
      </c>
      <c r="C21" s="170"/>
      <c r="D21" s="170"/>
      <c r="E21" s="187"/>
      <c r="F21" s="137"/>
    </row>
    <row r="22" spans="1:6" ht="52.8">
      <c r="A22" s="186"/>
      <c r="B22" s="264" t="s">
        <v>105</v>
      </c>
      <c r="C22" s="184"/>
      <c r="D22" s="184"/>
      <c r="E22" s="182"/>
      <c r="F22" s="138"/>
    </row>
    <row r="23" spans="1:6" ht="26.4">
      <c r="A23" s="186"/>
      <c r="B23" s="185" t="s">
        <v>68</v>
      </c>
      <c r="C23" s="184"/>
      <c r="D23" s="184"/>
      <c r="E23" s="182"/>
      <c r="F23" s="138"/>
    </row>
    <row r="24" spans="1:6">
      <c r="A24" s="181"/>
      <c r="B24" s="180" t="s">
        <v>234</v>
      </c>
      <c r="C24" s="179" t="s">
        <v>13</v>
      </c>
      <c r="D24" s="289">
        <f>(2.34+3*2)*16.9</f>
        <v>140.946</v>
      </c>
      <c r="E24" s="168"/>
      <c r="F24" s="128">
        <f>D24*E24</f>
        <v>0</v>
      </c>
    </row>
    <row r="25" spans="1:6" ht="26.4">
      <c r="A25" s="172" t="s">
        <v>18</v>
      </c>
      <c r="B25" s="234" t="s">
        <v>227</v>
      </c>
      <c r="C25" s="170"/>
      <c r="D25" s="170"/>
      <c r="E25" s="187"/>
      <c r="F25" s="137"/>
    </row>
    <row r="26" spans="1:6" ht="52.8">
      <c r="A26" s="186"/>
      <c r="B26" s="264" t="s">
        <v>105</v>
      </c>
      <c r="C26" s="184"/>
      <c r="D26" s="184"/>
      <c r="E26" s="182"/>
      <c r="F26" s="138"/>
    </row>
    <row r="27" spans="1:6" ht="26.4">
      <c r="A27" s="186"/>
      <c r="B27" s="185" t="s">
        <v>68</v>
      </c>
      <c r="C27" s="184"/>
      <c r="D27" s="184"/>
      <c r="E27" s="182"/>
      <c r="F27" s="138"/>
    </row>
    <row r="28" spans="1:6">
      <c r="A28" s="195"/>
      <c r="B28" s="216" t="s">
        <v>244</v>
      </c>
      <c r="C28" s="193" t="s">
        <v>13</v>
      </c>
      <c r="D28" s="249">
        <f>0.28*4*2.55</f>
        <v>2.8559999999999999</v>
      </c>
      <c r="E28" s="191"/>
      <c r="F28" s="130">
        <f>D28*E28</f>
        <v>0</v>
      </c>
    </row>
    <row r="29" spans="1:6" ht="26.4">
      <c r="A29" s="172" t="s">
        <v>94</v>
      </c>
      <c r="B29" s="197" t="s">
        <v>95</v>
      </c>
      <c r="C29" s="170"/>
      <c r="D29" s="170"/>
      <c r="E29" s="187"/>
      <c r="F29" s="137"/>
    </row>
    <row r="30" spans="1:6" ht="52.8">
      <c r="A30" s="186"/>
      <c r="B30" s="243" t="s">
        <v>96</v>
      </c>
      <c r="C30" s="184"/>
      <c r="D30" s="184"/>
      <c r="E30" s="182"/>
      <c r="F30" s="138"/>
    </row>
    <row r="31" spans="1:6" ht="26.4">
      <c r="A31" s="195"/>
      <c r="B31" s="194" t="s">
        <v>68</v>
      </c>
      <c r="C31" s="193" t="s">
        <v>13</v>
      </c>
      <c r="D31" s="249">
        <v>13.05</v>
      </c>
      <c r="E31" s="191"/>
      <c r="F31" s="130">
        <f>D31*E31</f>
        <v>0</v>
      </c>
    </row>
    <row r="32" spans="1:6" ht="9.9" customHeight="1">
      <c r="A32" s="139"/>
      <c r="B32" s="139"/>
      <c r="C32" s="139"/>
      <c r="D32" s="139"/>
      <c r="E32" s="139"/>
      <c r="F32" s="139"/>
    </row>
    <row r="33" spans="1:6" ht="20.100000000000001" customHeight="1" thickBot="1">
      <c r="A33" s="341" t="s">
        <v>11</v>
      </c>
      <c r="B33" s="342"/>
      <c r="C33" s="342"/>
      <c r="D33" s="342"/>
      <c r="E33" s="343"/>
      <c r="F33" s="140">
        <f>SUM(F12:F32)</f>
        <v>0</v>
      </c>
    </row>
    <row r="34" spans="1:6" ht="9.9" customHeight="1" thickTop="1" thickBot="1">
      <c r="A34" s="141"/>
      <c r="B34" s="141"/>
      <c r="C34" s="141"/>
      <c r="D34" s="141"/>
      <c r="E34" s="141"/>
      <c r="F34" s="141"/>
    </row>
    <row r="35" spans="1:6" ht="20.100000000000001" customHeight="1" thickTop="1" thickBot="1">
      <c r="A35" s="159" t="s">
        <v>29</v>
      </c>
      <c r="B35" s="323" t="s">
        <v>19</v>
      </c>
      <c r="C35" s="348"/>
      <c r="D35" s="348"/>
      <c r="E35" s="348"/>
      <c r="F35" s="349"/>
    </row>
    <row r="36" spans="1:6" ht="53.4" thickTop="1">
      <c r="A36" s="172" t="s">
        <v>20</v>
      </c>
      <c r="B36" s="189" t="s">
        <v>99</v>
      </c>
      <c r="C36" s="170"/>
      <c r="D36" s="196"/>
      <c r="E36" s="187"/>
      <c r="F36" s="137"/>
    </row>
    <row r="37" spans="1:6">
      <c r="A37" s="186"/>
      <c r="B37" s="185" t="s">
        <v>97</v>
      </c>
      <c r="C37" s="184"/>
      <c r="D37" s="190"/>
      <c r="E37" s="182"/>
      <c r="F37" s="138"/>
    </row>
    <row r="38" spans="1:6">
      <c r="A38" s="186"/>
      <c r="B38" s="252" t="s">
        <v>98</v>
      </c>
      <c r="C38" s="184"/>
      <c r="D38" s="190"/>
      <c r="E38" s="182"/>
      <c r="F38" s="138"/>
    </row>
    <row r="39" spans="1:6" ht="39.6">
      <c r="A39" s="186"/>
      <c r="B39" s="185" t="s">
        <v>91</v>
      </c>
      <c r="C39" s="184"/>
      <c r="D39" s="190"/>
      <c r="E39" s="182"/>
      <c r="F39" s="138"/>
    </row>
    <row r="40" spans="1:6">
      <c r="A40" s="181"/>
      <c r="B40" s="206" t="s">
        <v>31</v>
      </c>
      <c r="C40" s="179" t="s">
        <v>13</v>
      </c>
      <c r="D40" s="178" t="s">
        <v>243</v>
      </c>
      <c r="E40" s="168"/>
      <c r="F40" s="130">
        <f>D40*E40</f>
        <v>0</v>
      </c>
    </row>
    <row r="41" spans="1:6" ht="9.9" customHeight="1">
      <c r="A41" s="139"/>
      <c r="B41" s="139"/>
      <c r="C41" s="139"/>
      <c r="D41" s="139"/>
      <c r="E41" s="139"/>
      <c r="F41" s="139"/>
    </row>
    <row r="42" spans="1:6" ht="20.100000000000001" customHeight="1" thickBot="1">
      <c r="A42" s="341" t="s">
        <v>21</v>
      </c>
      <c r="B42" s="342"/>
      <c r="C42" s="342"/>
      <c r="D42" s="342"/>
      <c r="E42" s="343"/>
      <c r="F42" s="140">
        <f>SUM(F36:F40)</f>
        <v>0</v>
      </c>
    </row>
    <row r="43" spans="1:6" ht="9.9" customHeight="1" thickTop="1" thickBot="1">
      <c r="A43" s="141"/>
      <c r="B43" s="141"/>
      <c r="C43" s="141"/>
      <c r="D43" s="141"/>
      <c r="E43" s="141"/>
      <c r="F43" s="141"/>
    </row>
    <row r="44" spans="1:6" ht="20.100000000000001" customHeight="1" thickTop="1" thickBot="1">
      <c r="A44" s="159" t="s">
        <v>28</v>
      </c>
      <c r="B44" s="323" t="s">
        <v>73</v>
      </c>
      <c r="C44" s="348"/>
      <c r="D44" s="348"/>
      <c r="E44" s="348"/>
      <c r="F44" s="349"/>
    </row>
    <row r="45" spans="1:6" ht="79.8" thickTop="1">
      <c r="A45" s="172" t="s">
        <v>27</v>
      </c>
      <c r="B45" s="197" t="s">
        <v>124</v>
      </c>
      <c r="C45" s="170"/>
      <c r="D45" s="251"/>
      <c r="E45" s="187"/>
      <c r="F45" s="137"/>
    </row>
    <row r="46" spans="1:6" ht="79.2">
      <c r="A46" s="186"/>
      <c r="B46" s="243" t="s">
        <v>123</v>
      </c>
      <c r="C46" s="184"/>
      <c r="D46" s="250"/>
      <c r="E46" s="182"/>
      <c r="F46" s="138"/>
    </row>
    <row r="47" spans="1:6" ht="92.4">
      <c r="A47" s="186"/>
      <c r="B47" s="243" t="s">
        <v>125</v>
      </c>
      <c r="C47" s="184"/>
      <c r="D47" s="250"/>
      <c r="E47" s="182"/>
      <c r="F47" s="138"/>
    </row>
    <row r="48" spans="1:6">
      <c r="A48" s="195"/>
      <c r="B48" s="194" t="s">
        <v>34</v>
      </c>
      <c r="C48" s="193"/>
      <c r="D48" s="249"/>
      <c r="E48" s="191"/>
      <c r="F48" s="130"/>
    </row>
    <row r="49" spans="1:6" ht="26.4">
      <c r="A49" s="248"/>
      <c r="B49" s="194" t="s">
        <v>242</v>
      </c>
      <c r="C49" s="179" t="s">
        <v>3</v>
      </c>
      <c r="D49" s="247">
        <v>1</v>
      </c>
      <c r="E49" s="191"/>
      <c r="F49" s="130">
        <f>D49*E49</f>
        <v>0</v>
      </c>
    </row>
    <row r="50" spans="1:6" ht="158.4">
      <c r="A50" s="172" t="s">
        <v>221</v>
      </c>
      <c r="B50" s="197" t="s">
        <v>180</v>
      </c>
      <c r="C50" s="170"/>
      <c r="D50" s="246"/>
      <c r="E50" s="187"/>
      <c r="F50" s="137"/>
    </row>
    <row r="51" spans="1:6" ht="66">
      <c r="A51" s="186"/>
      <c r="B51" s="243" t="s">
        <v>179</v>
      </c>
      <c r="C51" s="184"/>
      <c r="D51" s="245"/>
      <c r="E51" s="182"/>
      <c r="F51" s="138"/>
    </row>
    <row r="52" spans="1:6" ht="79.2">
      <c r="A52" s="186"/>
      <c r="B52" s="243" t="s">
        <v>123</v>
      </c>
      <c r="C52" s="184"/>
      <c r="D52" s="245"/>
      <c r="E52" s="182"/>
      <c r="F52" s="138"/>
    </row>
    <row r="53" spans="1:6" ht="92.4">
      <c r="A53" s="186"/>
      <c r="B53" s="243" t="s">
        <v>125</v>
      </c>
      <c r="C53" s="184"/>
      <c r="D53" s="245"/>
      <c r="E53" s="182"/>
      <c r="F53" s="138"/>
    </row>
    <row r="54" spans="1:6">
      <c r="A54" s="186"/>
      <c r="B54" s="243" t="s">
        <v>34</v>
      </c>
      <c r="C54" s="184"/>
      <c r="D54" s="245"/>
      <c r="E54" s="182"/>
      <c r="F54" s="138"/>
    </row>
    <row r="55" spans="1:6" ht="26.4">
      <c r="A55" s="181"/>
      <c r="B55" s="171" t="s">
        <v>241</v>
      </c>
      <c r="C55" s="179" t="s">
        <v>3</v>
      </c>
      <c r="D55" s="275">
        <v>1</v>
      </c>
      <c r="E55" s="168"/>
      <c r="F55" s="128">
        <f>D55*E55</f>
        <v>0</v>
      </c>
    </row>
    <row r="56" spans="1:6" ht="9.9" customHeight="1">
      <c r="A56" s="139"/>
      <c r="B56" s="139"/>
      <c r="C56" s="139"/>
      <c r="D56" s="139"/>
      <c r="E56" s="139"/>
      <c r="F56" s="139"/>
    </row>
    <row r="57" spans="1:6" ht="20.100000000000001" customHeight="1" thickBot="1">
      <c r="A57" s="341" t="s">
        <v>74</v>
      </c>
      <c r="B57" s="342"/>
      <c r="C57" s="342"/>
      <c r="D57" s="342"/>
      <c r="E57" s="343"/>
      <c r="F57" s="140">
        <f>SUM(F45:F55)</f>
        <v>0</v>
      </c>
    </row>
    <row r="58" spans="1:6" ht="9.9" customHeight="1" thickTop="1" thickBot="1">
      <c r="A58" s="141"/>
      <c r="B58" s="141"/>
      <c r="C58" s="141"/>
      <c r="D58" s="141"/>
      <c r="E58" s="141"/>
      <c r="F58" s="141"/>
    </row>
    <row r="59" spans="1:6" ht="19.5" customHeight="1" thickTop="1" thickBot="1">
      <c r="A59" s="159" t="s">
        <v>30</v>
      </c>
      <c r="B59" s="323" t="s">
        <v>75</v>
      </c>
      <c r="C59" s="324"/>
      <c r="D59" s="324"/>
      <c r="E59" s="324"/>
      <c r="F59" s="345"/>
    </row>
    <row r="60" spans="1:6" ht="53.4" thickTop="1">
      <c r="A60" s="186" t="s">
        <v>43</v>
      </c>
      <c r="B60" s="176" t="s">
        <v>220</v>
      </c>
      <c r="C60" s="244"/>
      <c r="D60" s="244"/>
      <c r="E60" s="244"/>
      <c r="F60" s="142"/>
    </row>
    <row r="61" spans="1:6" ht="52.8">
      <c r="A61" s="224"/>
      <c r="B61" s="243" t="s">
        <v>87</v>
      </c>
      <c r="C61" s="242"/>
      <c r="D61" s="242"/>
      <c r="E61" s="242"/>
      <c r="F61" s="143"/>
    </row>
    <row r="62" spans="1:6" ht="92.4">
      <c r="A62" s="224"/>
      <c r="B62" s="243" t="s">
        <v>88</v>
      </c>
      <c r="C62" s="242"/>
      <c r="D62" s="242"/>
      <c r="E62" s="242"/>
      <c r="F62" s="143"/>
    </row>
    <row r="63" spans="1:6" ht="132">
      <c r="A63" s="224"/>
      <c r="B63" s="243" t="s">
        <v>219</v>
      </c>
      <c r="C63" s="242"/>
      <c r="D63" s="242"/>
      <c r="E63" s="242"/>
      <c r="F63" s="143"/>
    </row>
    <row r="64" spans="1:6" ht="26.4">
      <c r="A64" s="224"/>
      <c r="B64" s="243" t="s">
        <v>89</v>
      </c>
      <c r="C64" s="242"/>
      <c r="D64" s="242"/>
      <c r="E64" s="242"/>
      <c r="F64" s="143"/>
    </row>
    <row r="65" spans="1:6" ht="12.75" customHeight="1">
      <c r="A65" s="241"/>
      <c r="B65" s="240" t="s">
        <v>218</v>
      </c>
      <c r="C65" s="239" t="s">
        <v>77</v>
      </c>
      <c r="D65" s="300">
        <v>1774.1</v>
      </c>
      <c r="E65" s="237"/>
      <c r="F65" s="128">
        <f>D65*E65</f>
        <v>0</v>
      </c>
    </row>
    <row r="66" spans="1:6" ht="9.9" customHeight="1">
      <c r="A66" s="145"/>
      <c r="B66" s="145"/>
      <c r="C66" s="145"/>
      <c r="D66" s="145"/>
      <c r="E66" s="145"/>
      <c r="F66" s="145"/>
    </row>
    <row r="67" spans="1:6" ht="19.5" customHeight="1" thickBot="1">
      <c r="A67" s="341" t="s">
        <v>76</v>
      </c>
      <c r="B67" s="342"/>
      <c r="C67" s="342"/>
      <c r="D67" s="342"/>
      <c r="E67" s="343"/>
      <c r="F67" s="140">
        <f>SUM(F64:F65)</f>
        <v>0</v>
      </c>
    </row>
    <row r="68" spans="1:6" ht="9.9" customHeight="1" thickTop="1" thickBot="1">
      <c r="A68" s="141"/>
      <c r="B68" s="141"/>
      <c r="C68" s="141"/>
      <c r="D68" s="141"/>
      <c r="E68" s="141"/>
      <c r="F68" s="141"/>
    </row>
    <row r="69" spans="1:6" ht="19.5" customHeight="1" thickTop="1" thickBot="1">
      <c r="A69" s="159" t="s">
        <v>35</v>
      </c>
      <c r="B69" s="323" t="s">
        <v>132</v>
      </c>
      <c r="C69" s="324"/>
      <c r="D69" s="324"/>
      <c r="E69" s="324"/>
      <c r="F69" s="345"/>
    </row>
    <row r="70" spans="1:6" ht="66.599999999999994" thickTop="1">
      <c r="A70" s="186" t="s">
        <v>63</v>
      </c>
      <c r="B70" s="236" t="s">
        <v>136</v>
      </c>
      <c r="C70" s="235"/>
      <c r="D70" s="234"/>
      <c r="E70" s="234"/>
      <c r="F70" s="146"/>
    </row>
    <row r="71" spans="1:6" ht="171.6">
      <c r="A71" s="224"/>
      <c r="B71" s="236" t="s">
        <v>137</v>
      </c>
      <c r="C71" s="235"/>
      <c r="D71" s="234"/>
      <c r="E71" s="234"/>
      <c r="F71" s="146"/>
    </row>
    <row r="72" spans="1:6" ht="26.4">
      <c r="A72" s="224"/>
      <c r="B72" s="236" t="s">
        <v>138</v>
      </c>
      <c r="C72" s="235"/>
      <c r="D72" s="234"/>
      <c r="E72" s="234"/>
      <c r="F72" s="146"/>
    </row>
    <row r="73" spans="1:6" ht="26.4">
      <c r="A73" s="224"/>
      <c r="B73" s="236" t="s">
        <v>134</v>
      </c>
      <c r="C73" s="235"/>
      <c r="D73" s="234"/>
      <c r="E73" s="234"/>
      <c r="F73" s="146"/>
    </row>
    <row r="74" spans="1:6" ht="118.8">
      <c r="A74" s="224"/>
      <c r="B74" s="236" t="s">
        <v>139</v>
      </c>
      <c r="C74" s="235"/>
      <c r="D74" s="234"/>
      <c r="E74" s="234"/>
      <c r="F74" s="146"/>
    </row>
    <row r="75" spans="1:6" ht="105.6">
      <c r="A75" s="224"/>
      <c r="B75" s="236" t="s">
        <v>140</v>
      </c>
      <c r="C75" s="235"/>
      <c r="D75" s="234"/>
      <c r="E75" s="234"/>
      <c r="F75" s="147"/>
    </row>
    <row r="76" spans="1:6" ht="52.8">
      <c r="A76" s="224"/>
      <c r="B76" s="223" t="s">
        <v>141</v>
      </c>
      <c r="C76" s="233"/>
      <c r="D76" s="232"/>
      <c r="E76" s="223"/>
      <c r="F76" s="148"/>
    </row>
    <row r="77" spans="1:6" ht="12.75" customHeight="1">
      <c r="A77" s="181"/>
      <c r="B77" s="206" t="s">
        <v>142</v>
      </c>
      <c r="C77" s="179" t="s">
        <v>135</v>
      </c>
      <c r="D77" s="178">
        <f>4.75*2.6+4.15*1.8</f>
        <v>19.82</v>
      </c>
      <c r="E77" s="168"/>
      <c r="F77" s="128">
        <f>D77*E77</f>
        <v>0</v>
      </c>
    </row>
    <row r="78" spans="1:6" ht="12.75" customHeight="1">
      <c r="A78" s="231"/>
      <c r="B78" s="230" t="s">
        <v>143</v>
      </c>
      <c r="C78" s="229"/>
      <c r="D78" s="229"/>
      <c r="E78" s="229"/>
      <c r="F78" s="129"/>
    </row>
    <row r="79" spans="1:6" ht="12.75" customHeight="1">
      <c r="A79" s="195"/>
      <c r="B79" s="228" t="s">
        <v>240</v>
      </c>
      <c r="C79" s="193" t="s">
        <v>135</v>
      </c>
      <c r="D79" s="192">
        <f>0.4*(4.75*2+2.6+3.15+2+1.8)</f>
        <v>7.620000000000001</v>
      </c>
      <c r="E79" s="191"/>
      <c r="F79" s="130">
        <f>D79*E79</f>
        <v>0</v>
      </c>
    </row>
    <row r="80" spans="1:6" ht="10.5" customHeight="1">
      <c r="A80" s="217"/>
      <c r="B80" s="218"/>
      <c r="C80" s="218"/>
      <c r="D80" s="218"/>
      <c r="E80" s="218"/>
      <c r="F80" s="150"/>
    </row>
    <row r="81" spans="1:6" ht="18.75" customHeight="1" thickBot="1">
      <c r="A81" s="341" t="s">
        <v>133</v>
      </c>
      <c r="B81" s="342"/>
      <c r="C81" s="342"/>
      <c r="D81" s="342"/>
      <c r="E81" s="343"/>
      <c r="F81" s="140">
        <f>SUM(F70:F79)</f>
        <v>0</v>
      </c>
    </row>
    <row r="82" spans="1:6" ht="10.5" customHeight="1" thickTop="1" thickBot="1">
      <c r="A82" s="141"/>
      <c r="B82" s="141"/>
      <c r="C82" s="141"/>
      <c r="D82" s="141"/>
      <c r="E82" s="141"/>
      <c r="F82" s="141"/>
    </row>
    <row r="83" spans="1:6" ht="18" customHeight="1" thickTop="1" thickBot="1">
      <c r="A83" s="159" t="s">
        <v>36</v>
      </c>
      <c r="B83" s="323" t="s">
        <v>57</v>
      </c>
      <c r="C83" s="324"/>
      <c r="D83" s="324"/>
      <c r="E83" s="324"/>
      <c r="F83" s="345"/>
    </row>
    <row r="84" spans="1:6" ht="53.4" thickTop="1">
      <c r="A84" s="177" t="s">
        <v>33</v>
      </c>
      <c r="B84" s="220" t="s">
        <v>84</v>
      </c>
      <c r="C84" s="219"/>
      <c r="D84" s="219"/>
      <c r="E84" s="219"/>
      <c r="F84" s="151"/>
    </row>
    <row r="85" spans="1:6" ht="12.75" customHeight="1">
      <c r="A85" s="217"/>
      <c r="B85" s="218" t="s">
        <v>58</v>
      </c>
      <c r="C85" s="218"/>
      <c r="D85" s="218"/>
      <c r="E85" s="218"/>
      <c r="F85" s="150"/>
    </row>
    <row r="86" spans="1:6" ht="12.75" customHeight="1">
      <c r="A86" s="214"/>
      <c r="B86" s="213" t="s">
        <v>59</v>
      </c>
      <c r="C86" s="213"/>
      <c r="D86" s="213"/>
      <c r="E86" s="213"/>
      <c r="F86" s="152"/>
    </row>
    <row r="87" spans="1:6" ht="12.75" customHeight="1">
      <c r="A87" s="217"/>
      <c r="B87" s="216" t="s">
        <v>239</v>
      </c>
      <c r="C87" s="193" t="s">
        <v>13</v>
      </c>
      <c r="D87" s="274">
        <f>2.55*17.5+(2.34+3*2)*16.9</f>
        <v>185.571</v>
      </c>
      <c r="E87" s="210"/>
      <c r="F87" s="130">
        <f>D87*E87</f>
        <v>0</v>
      </c>
    </row>
    <row r="88" spans="1:6" ht="12.75" customHeight="1">
      <c r="A88" s="214"/>
      <c r="B88" s="213" t="s">
        <v>60</v>
      </c>
      <c r="C88" s="170"/>
      <c r="D88" s="170"/>
      <c r="E88" s="208"/>
      <c r="F88" s="137"/>
    </row>
    <row r="89" spans="1:6" ht="12.75" customHeight="1">
      <c r="A89" s="207"/>
      <c r="B89" s="212" t="s">
        <v>238</v>
      </c>
      <c r="C89" s="184" t="s">
        <v>13</v>
      </c>
      <c r="D89" s="211">
        <f>13.3*2</f>
        <v>26.6</v>
      </c>
      <c r="E89" s="210"/>
      <c r="F89" s="138">
        <f>D89*E89</f>
        <v>0</v>
      </c>
    </row>
    <row r="90" spans="1:6" ht="211.2">
      <c r="A90" s="172" t="s">
        <v>214</v>
      </c>
      <c r="B90" s="209" t="s">
        <v>213</v>
      </c>
      <c r="C90" s="170"/>
      <c r="D90" s="170"/>
      <c r="E90" s="208"/>
      <c r="F90" s="137"/>
    </row>
    <row r="91" spans="1:6" ht="26.4">
      <c r="A91" s="207"/>
      <c r="B91" s="204" t="s">
        <v>79</v>
      </c>
      <c r="C91" s="184"/>
      <c r="D91" s="184"/>
      <c r="E91" s="201"/>
      <c r="F91" s="138"/>
    </row>
    <row r="92" spans="1:6" ht="12.75" customHeight="1">
      <c r="A92" s="207"/>
      <c r="B92" s="202" t="s">
        <v>58</v>
      </c>
      <c r="C92" s="184"/>
      <c r="D92" s="184"/>
      <c r="E92" s="201"/>
      <c r="F92" s="138"/>
    </row>
    <row r="93" spans="1:6" ht="12.75" customHeight="1">
      <c r="A93" s="200"/>
      <c r="B93" s="180" t="s">
        <v>237</v>
      </c>
      <c r="C93" s="179" t="s">
        <v>13</v>
      </c>
      <c r="D93" s="298">
        <f>0.9*(6.6*2)</f>
        <v>11.879999999999999</v>
      </c>
      <c r="E93" s="205"/>
      <c r="F93" s="128">
        <f>D93*E93</f>
        <v>0</v>
      </c>
    </row>
    <row r="94" spans="1:6" ht="237.6">
      <c r="A94" s="186" t="s">
        <v>211</v>
      </c>
      <c r="B94" s="204" t="s">
        <v>210</v>
      </c>
      <c r="C94" s="202"/>
      <c r="D94" s="202"/>
      <c r="E94" s="201"/>
      <c r="F94" s="153"/>
    </row>
    <row r="95" spans="1:6">
      <c r="A95" s="203"/>
      <c r="B95" s="202" t="s">
        <v>58</v>
      </c>
      <c r="C95" s="202"/>
      <c r="D95" s="202"/>
      <c r="E95" s="201"/>
      <c r="F95" s="153"/>
    </row>
    <row r="96" spans="1:6" ht="12.75" customHeight="1">
      <c r="A96" s="200"/>
      <c r="B96" s="180" t="s">
        <v>236</v>
      </c>
      <c r="C96" s="179" t="s">
        <v>13</v>
      </c>
      <c r="D96" s="298">
        <f>0.6*4.3</f>
        <v>2.5799999999999996</v>
      </c>
      <c r="E96" s="205"/>
      <c r="F96" s="128">
        <f>D96*E96</f>
        <v>0</v>
      </c>
    </row>
    <row r="97" spans="1:6" ht="9" customHeight="1">
      <c r="A97" s="145"/>
      <c r="B97" s="145"/>
      <c r="C97" s="145"/>
      <c r="D97" s="145"/>
      <c r="E97" s="145"/>
      <c r="F97" s="145"/>
    </row>
    <row r="98" spans="1:6" ht="19.5" customHeight="1" thickBot="1">
      <c r="A98" s="341" t="s">
        <v>37</v>
      </c>
      <c r="B98" s="342"/>
      <c r="C98" s="342"/>
      <c r="D98" s="342"/>
      <c r="E98" s="343"/>
      <c r="F98" s="140">
        <f>SUM(F85:F97)</f>
        <v>0</v>
      </c>
    </row>
    <row r="99" spans="1:6" ht="9.9" customHeight="1" thickTop="1" thickBot="1">
      <c r="A99" s="141"/>
      <c r="B99" s="141"/>
      <c r="C99" s="141"/>
      <c r="D99" s="141"/>
      <c r="E99" s="141"/>
      <c r="F99" s="141"/>
    </row>
    <row r="100" spans="1:6" ht="20.100000000000001" customHeight="1" thickTop="1" thickBot="1">
      <c r="A100" s="159" t="s">
        <v>62</v>
      </c>
      <c r="B100" s="323" t="s">
        <v>42</v>
      </c>
      <c r="C100" s="324"/>
      <c r="D100" s="324"/>
      <c r="E100" s="324"/>
      <c r="F100" s="345"/>
    </row>
    <row r="101" spans="1:6" ht="51" customHeight="1" thickTop="1">
      <c r="A101" s="172" t="s">
        <v>63</v>
      </c>
      <c r="B101" s="189" t="s">
        <v>82</v>
      </c>
      <c r="C101" s="170"/>
      <c r="D101" s="188"/>
      <c r="E101" s="187"/>
      <c r="F101" s="137"/>
    </row>
    <row r="102" spans="1:6">
      <c r="A102" s="186"/>
      <c r="B102" s="185" t="s">
        <v>61</v>
      </c>
      <c r="C102" s="184"/>
      <c r="D102" s="183"/>
      <c r="E102" s="182"/>
      <c r="F102" s="138"/>
    </row>
    <row r="103" spans="1:6">
      <c r="A103" s="181"/>
      <c r="B103" s="206" t="s">
        <v>235</v>
      </c>
      <c r="C103" s="179" t="s">
        <v>13</v>
      </c>
      <c r="D103" s="178">
        <f>2.55*(4.75*2+2.6+3.15+2+1.8)</f>
        <v>48.577500000000001</v>
      </c>
      <c r="E103" s="168"/>
      <c r="F103" s="128">
        <f>D103*E103</f>
        <v>0</v>
      </c>
    </row>
    <row r="104" spans="1:6" ht="9.9" customHeight="1">
      <c r="A104" s="139"/>
      <c r="B104" s="139"/>
      <c r="C104" s="139"/>
      <c r="D104" s="139"/>
      <c r="E104" s="139"/>
      <c r="F104" s="139"/>
    </row>
    <row r="105" spans="1:6" ht="20.100000000000001" customHeight="1" thickBot="1">
      <c r="A105" s="341" t="s">
        <v>65</v>
      </c>
      <c r="B105" s="342"/>
      <c r="C105" s="342"/>
      <c r="D105" s="342"/>
      <c r="E105" s="343"/>
      <c r="F105" s="140">
        <f>SUM(F101:F103)</f>
        <v>0</v>
      </c>
    </row>
    <row r="106" spans="1:6" ht="9.9" customHeight="1" thickTop="1" thickBot="1">
      <c r="A106" s="141"/>
      <c r="B106" s="141"/>
      <c r="C106" s="141"/>
      <c r="D106" s="141"/>
      <c r="E106" s="141"/>
      <c r="F106" s="141"/>
    </row>
    <row r="107" spans="1:6" ht="20.100000000000001" customHeight="1" thickTop="1" thickBot="1">
      <c r="A107" s="159" t="s">
        <v>55</v>
      </c>
      <c r="B107" s="323" t="s">
        <v>207</v>
      </c>
      <c r="C107" s="348"/>
      <c r="D107" s="348"/>
      <c r="E107" s="348"/>
      <c r="F107" s="349"/>
    </row>
    <row r="108" spans="1:6" ht="66.599999999999994" thickTop="1">
      <c r="A108" s="177" t="s">
        <v>56</v>
      </c>
      <c r="B108" s="293" t="s">
        <v>206</v>
      </c>
      <c r="C108" s="175"/>
      <c r="D108" s="174"/>
      <c r="E108" s="173"/>
      <c r="F108" s="154"/>
    </row>
    <row r="109" spans="1:6" ht="105.6">
      <c r="A109" s="186"/>
      <c r="B109" s="293" t="s">
        <v>205</v>
      </c>
      <c r="C109" s="184"/>
      <c r="D109" s="290"/>
      <c r="E109" s="182"/>
      <c r="F109" s="138"/>
    </row>
    <row r="110" spans="1:6" ht="39.6">
      <c r="A110" s="186"/>
      <c r="B110" s="243" t="s">
        <v>204</v>
      </c>
      <c r="C110" s="184"/>
      <c r="D110" s="290"/>
      <c r="E110" s="182"/>
      <c r="F110" s="138"/>
    </row>
    <row r="111" spans="1:6" ht="66">
      <c r="A111" s="186"/>
      <c r="B111" s="297" t="s">
        <v>203</v>
      </c>
      <c r="C111" s="184"/>
      <c r="D111" s="290"/>
      <c r="E111" s="182"/>
      <c r="F111" s="138"/>
    </row>
    <row r="112" spans="1:6" ht="66">
      <c r="A112" s="186"/>
      <c r="B112" s="296" t="s">
        <v>202</v>
      </c>
      <c r="C112" s="184"/>
      <c r="D112" s="290"/>
      <c r="E112" s="182"/>
      <c r="F112" s="138"/>
    </row>
    <row r="113" spans="1:6" ht="39.6">
      <c r="A113" s="186"/>
      <c r="B113" s="295" t="s">
        <v>201</v>
      </c>
      <c r="C113" s="184"/>
      <c r="D113" s="290"/>
      <c r="E113" s="182"/>
      <c r="F113" s="138"/>
    </row>
    <row r="114" spans="1:6">
      <c r="A114" s="172"/>
      <c r="B114" s="180" t="s">
        <v>234</v>
      </c>
      <c r="C114" s="179" t="s">
        <v>13</v>
      </c>
      <c r="D114" s="289">
        <f>(2.34+3*2)*16.9</f>
        <v>140.946</v>
      </c>
      <c r="E114" s="294"/>
      <c r="F114" s="128">
        <f>D114*E114</f>
        <v>0</v>
      </c>
    </row>
    <row r="115" spans="1:6" ht="39.6">
      <c r="A115" s="172" t="s">
        <v>157</v>
      </c>
      <c r="B115" s="293" t="s">
        <v>199</v>
      </c>
      <c r="C115" s="184"/>
      <c r="D115" s="290"/>
      <c r="E115" s="182"/>
      <c r="F115" s="138"/>
    </row>
    <row r="116" spans="1:6" ht="132">
      <c r="A116" s="186"/>
      <c r="B116" s="243" t="s">
        <v>198</v>
      </c>
      <c r="C116" s="184"/>
      <c r="D116" s="290"/>
      <c r="E116" s="182"/>
      <c r="F116" s="138"/>
    </row>
    <row r="117" spans="1:6" ht="26.4">
      <c r="A117" s="186"/>
      <c r="B117" s="292" t="s">
        <v>197</v>
      </c>
      <c r="C117" s="184"/>
      <c r="D117" s="290"/>
      <c r="E117" s="182"/>
      <c r="F117" s="138"/>
    </row>
    <row r="118" spans="1:6" ht="39.6">
      <c r="A118" s="186"/>
      <c r="B118" s="291" t="s">
        <v>196</v>
      </c>
      <c r="C118" s="184"/>
      <c r="D118" s="290"/>
      <c r="E118" s="182"/>
      <c r="F118" s="138"/>
    </row>
    <row r="119" spans="1:6">
      <c r="A119" s="181"/>
      <c r="B119" s="180" t="s">
        <v>233</v>
      </c>
      <c r="C119" s="179" t="s">
        <v>13</v>
      </c>
      <c r="D119" s="289">
        <f>0.28*4*2.5</f>
        <v>2.8000000000000003</v>
      </c>
      <c r="E119" s="168"/>
      <c r="F119" s="128">
        <f>D119*E119</f>
        <v>0</v>
      </c>
    </row>
    <row r="120" spans="1:6">
      <c r="A120" s="139"/>
      <c r="B120" s="139"/>
      <c r="C120" s="139"/>
      <c r="D120" s="139"/>
      <c r="E120" s="139"/>
      <c r="F120" s="139"/>
    </row>
    <row r="121" spans="1:6" ht="16.5" customHeight="1" thickBot="1">
      <c r="A121" s="341" t="s">
        <v>186</v>
      </c>
      <c r="B121" s="342"/>
      <c r="C121" s="342"/>
      <c r="D121" s="342"/>
      <c r="E121" s="343"/>
      <c r="F121" s="140">
        <f>SUM(F108:F120)</f>
        <v>0</v>
      </c>
    </row>
    <row r="122" spans="1:6" ht="12" customHeight="1" thickTop="1" thickBot="1">
      <c r="A122" s="141"/>
      <c r="B122" s="141"/>
      <c r="C122" s="141"/>
      <c r="D122" s="141"/>
      <c r="E122" s="141"/>
      <c r="F122" s="141"/>
    </row>
    <row r="123" spans="1:6" ht="18" customHeight="1" thickTop="1" thickBot="1">
      <c r="A123" s="159" t="s">
        <v>158</v>
      </c>
      <c r="B123" s="323" t="s">
        <v>22</v>
      </c>
      <c r="C123" s="348"/>
      <c r="D123" s="348"/>
      <c r="E123" s="348"/>
      <c r="F123" s="349"/>
    </row>
    <row r="124" spans="1:6" ht="27" thickTop="1">
      <c r="A124" s="177" t="s">
        <v>159</v>
      </c>
      <c r="B124" s="176" t="s">
        <v>83</v>
      </c>
      <c r="C124" s="175"/>
      <c r="D124" s="174"/>
      <c r="E124" s="173"/>
      <c r="F124" s="154"/>
    </row>
    <row r="125" spans="1:6">
      <c r="A125" s="172"/>
      <c r="B125" s="171" t="s">
        <v>31</v>
      </c>
      <c r="C125" s="170" t="s">
        <v>13</v>
      </c>
      <c r="D125" s="169">
        <f>13.05+2.9*1*8</f>
        <v>36.25</v>
      </c>
      <c r="E125" s="168"/>
      <c r="F125" s="128">
        <f>D125*E125</f>
        <v>0</v>
      </c>
    </row>
    <row r="126" spans="1:6" ht="9.9" customHeight="1">
      <c r="A126" s="139"/>
      <c r="B126" s="139"/>
      <c r="C126" s="139"/>
      <c r="D126" s="139"/>
      <c r="E126" s="139"/>
      <c r="F126" s="139"/>
    </row>
    <row r="127" spans="1:6" ht="20.100000000000001" customHeight="1" thickBot="1">
      <c r="A127" s="341" t="s">
        <v>38</v>
      </c>
      <c r="B127" s="342"/>
      <c r="C127" s="342"/>
      <c r="D127" s="342"/>
      <c r="E127" s="343"/>
      <c r="F127" s="140">
        <f>SUM(F125:F126)</f>
        <v>0</v>
      </c>
    </row>
    <row r="128" spans="1:6" ht="9.9" customHeight="1" thickTop="1"/>
    <row r="130" spans="1:6" ht="39.75" customHeight="1">
      <c r="A130" s="344" t="s">
        <v>331</v>
      </c>
      <c r="B130" s="344"/>
      <c r="C130" s="344"/>
      <c r="D130" s="344"/>
      <c r="E130" s="344"/>
      <c r="F130" s="344"/>
    </row>
    <row r="131" spans="1:6" ht="13.8" thickBot="1"/>
    <row r="132" spans="1:6" ht="16.8" thickTop="1" thickBot="1">
      <c r="A132" s="350" t="s">
        <v>40</v>
      </c>
      <c r="B132" s="351"/>
      <c r="C132" s="351"/>
      <c r="D132" s="351"/>
      <c r="E132" s="351"/>
      <c r="F132" s="352"/>
    </row>
    <row r="133" spans="1:6" ht="14.4" thickTop="1" thickBot="1"/>
    <row r="134" spans="1:6" ht="20.25" customHeight="1" thickTop="1" thickBot="1">
      <c r="A134" s="159" t="s">
        <v>23</v>
      </c>
      <c r="B134" s="160" t="s">
        <v>24</v>
      </c>
      <c r="C134" s="161"/>
      <c r="D134" s="161"/>
      <c r="E134" s="161"/>
      <c r="F134" s="156"/>
    </row>
    <row r="135" spans="1:6" ht="20.100000000000001" customHeight="1" thickTop="1" thickBot="1">
      <c r="A135" s="159" t="str">
        <f>A9</f>
        <v>01.01.00.</v>
      </c>
      <c r="B135" s="323" t="str">
        <f>B9</f>
        <v>ДЕМОНТАЖНИ РАДОВИ</v>
      </c>
      <c r="C135" s="324"/>
      <c r="D135" s="324"/>
      <c r="E135" s="325"/>
      <c r="F135" s="157">
        <f>F33</f>
        <v>0</v>
      </c>
    </row>
    <row r="136" spans="1:6" ht="20.100000000000001" customHeight="1" thickTop="1" thickBot="1">
      <c r="A136" s="159" t="str">
        <f>A35</f>
        <v>01.02.00.</v>
      </c>
      <c r="B136" s="163" t="str">
        <f>B35</f>
        <v>ЗИДАРСКИ РАДОВИ</v>
      </c>
      <c r="C136" s="164"/>
      <c r="D136" s="164"/>
      <c r="E136" s="165"/>
      <c r="F136" s="157">
        <f>F42</f>
        <v>0</v>
      </c>
    </row>
    <row r="137" spans="1:6" ht="20.100000000000001" customHeight="1" thickTop="1" thickBot="1">
      <c r="A137" s="159" t="str">
        <f>A44</f>
        <v>01.03.00.</v>
      </c>
      <c r="B137" s="323" t="str">
        <f>B44</f>
        <v>БРАВАРСКИ РАДОВИ</v>
      </c>
      <c r="C137" s="324"/>
      <c r="D137" s="324"/>
      <c r="E137" s="325"/>
      <c r="F137" s="157">
        <f>F57</f>
        <v>0</v>
      </c>
    </row>
    <row r="138" spans="1:6" ht="20.100000000000001" customHeight="1" thickTop="1" thickBot="1">
      <c r="A138" s="159" t="str">
        <f>A59</f>
        <v>01.04.00.</v>
      </c>
      <c r="B138" s="163" t="str">
        <f>B59</f>
        <v>ЧЕЛИЧНА КОНСТРУКЦИЈА</v>
      </c>
      <c r="C138" s="164"/>
      <c r="D138" s="164"/>
      <c r="E138" s="165"/>
      <c r="F138" s="157">
        <f>F67</f>
        <v>0</v>
      </c>
    </row>
    <row r="139" spans="1:6" ht="20.100000000000001" customHeight="1" thickTop="1" thickBot="1">
      <c r="A139" s="159" t="str">
        <f>A69</f>
        <v>01.05.00.</v>
      </c>
      <c r="B139" s="163" t="str">
        <f>B69</f>
        <v>ЛИМАРСКИ РАДОВИ</v>
      </c>
      <c r="C139" s="164"/>
      <c r="D139" s="164"/>
      <c r="E139" s="165"/>
      <c r="F139" s="157">
        <f>F81</f>
        <v>0</v>
      </c>
    </row>
    <row r="140" spans="1:6" ht="20.100000000000001" customHeight="1" thickTop="1" thickBot="1">
      <c r="A140" s="159" t="str">
        <f>A83</f>
        <v>01.06.00.</v>
      </c>
      <c r="B140" s="163" t="str">
        <f>B83</f>
        <v>МОЛЕРСКО ФАРБАРСКИ РАДОВИ</v>
      </c>
      <c r="C140" s="164"/>
      <c r="D140" s="164"/>
      <c r="E140" s="165"/>
      <c r="F140" s="157">
        <f>F98</f>
        <v>0</v>
      </c>
    </row>
    <row r="141" spans="1:6" ht="20.100000000000001" customHeight="1" thickTop="1" thickBot="1">
      <c r="A141" s="159" t="str">
        <f>A100</f>
        <v>01.07.00.</v>
      </c>
      <c r="B141" s="323" t="str">
        <f>B100</f>
        <v>ФАСАДЕРСКИ РАДОВИ</v>
      </c>
      <c r="C141" s="324"/>
      <c r="D141" s="324"/>
      <c r="E141" s="325"/>
      <c r="F141" s="157">
        <f>F105</f>
        <v>0</v>
      </c>
    </row>
    <row r="142" spans="1:6" ht="20.100000000000001" customHeight="1" thickTop="1" thickBot="1">
      <c r="A142" s="159" t="str">
        <f>A107</f>
        <v>01.08.00.</v>
      </c>
      <c r="B142" s="323" t="str">
        <f>B107</f>
        <v>СУВОМОНТАЖНИ РАДОВИ</v>
      </c>
      <c r="C142" s="324"/>
      <c r="D142" s="324"/>
      <c r="E142" s="325"/>
      <c r="F142" s="157">
        <f>F121</f>
        <v>0</v>
      </c>
    </row>
    <row r="143" spans="1:6" ht="20.100000000000001" customHeight="1" thickTop="1" thickBot="1">
      <c r="A143" s="166" t="str">
        <f>A123</f>
        <v>01.09.00.</v>
      </c>
      <c r="B143" s="163" t="str">
        <f>B123</f>
        <v>РАЗНИ РАДОВИ</v>
      </c>
      <c r="C143" s="164"/>
      <c r="D143" s="164"/>
      <c r="E143" s="165"/>
      <c r="F143" s="158">
        <f>F127</f>
        <v>0</v>
      </c>
    </row>
    <row r="144" spans="1:6" ht="20.100000000000001" customHeight="1" thickTop="1" thickBot="1">
      <c r="A144" s="166"/>
      <c r="B144" s="164"/>
      <c r="C144" s="164"/>
      <c r="D144" s="346" t="s">
        <v>41</v>
      </c>
      <c r="E144" s="347"/>
      <c r="F144" s="158">
        <f>SUM(F135:F143)</f>
        <v>0</v>
      </c>
    </row>
    <row r="145" ht="13.8" thickTop="1"/>
  </sheetData>
  <sheetProtection algorithmName="SHA-512" hashValue="PBkwCQG8s+C0HnT2XVykg89WCB/OWNvggdfrPHYOREpJjKcI9fjmOmdBMdNP8n9qRyqWYqFwL++hyUXwQxsR4A==" saltValue="bW1FBVd6a4z1GgYDM3Y08w==" spinCount="100000" sheet="1" formatCells="0" formatColumns="0" formatRows="0" insertColumns="0" insertRows="0" insertHyperlinks="0" deleteColumns="0" deleteRows="0" sort="0" autoFilter="0" pivotTables="0"/>
  <protectedRanges>
    <protectedRange sqref="E1:E1048576" name="Range1"/>
  </protectedRanges>
  <mergeCells count="31">
    <mergeCell ref="D144:E144"/>
    <mergeCell ref="A132:F132"/>
    <mergeCell ref="B142:E142"/>
    <mergeCell ref="A2:F2"/>
    <mergeCell ref="B9:F9"/>
    <mergeCell ref="A6:A7"/>
    <mergeCell ref="B6:B7"/>
    <mergeCell ref="C6:C7"/>
    <mergeCell ref="A33:E33"/>
    <mergeCell ref="A42:E42"/>
    <mergeCell ref="B135:E135"/>
    <mergeCell ref="B69:F69"/>
    <mergeCell ref="A98:E98"/>
    <mergeCell ref="A121:E121"/>
    <mergeCell ref="B123:F123"/>
    <mergeCell ref="A81:E81"/>
    <mergeCell ref="A3:F3"/>
    <mergeCell ref="A4:F4"/>
    <mergeCell ref="B44:F44"/>
    <mergeCell ref="A57:E57"/>
    <mergeCell ref="A130:F130"/>
    <mergeCell ref="B83:F83"/>
    <mergeCell ref="A105:E105"/>
    <mergeCell ref="B100:F100"/>
    <mergeCell ref="B59:F59"/>
    <mergeCell ref="A67:E67"/>
    <mergeCell ref="B141:E141"/>
    <mergeCell ref="B107:F107"/>
    <mergeCell ref="B35:F35"/>
    <mergeCell ref="A127:E127"/>
    <mergeCell ref="B137:E137"/>
  </mergeCells>
  <pageMargins left="0.90551181102362199" right="0.196850393700787" top="0.39370078740157499" bottom="0.39370078740157499" header="0" footer="0.196850393700787"/>
  <pageSetup paperSize="9" scale="97" orientation="portrait" r:id="rId1"/>
  <headerFooter>
    <oddFooter xml:space="preserve">&amp;C&amp;"Arial,Regular"&amp;9 2018-684-АРХ-К1&amp;R&amp;"Arial,Regular"&amp;9Страна  &amp;"Arial,Bold"&amp;P&amp;"Arial,Regular"  од  &amp;N  </oddFooter>
  </headerFooter>
  <rowBreaks count="10" manualBreakCount="10">
    <brk id="24" max="16383" man="1"/>
    <brk id="33" max="16383" man="1"/>
    <brk id="42" max="16383" man="1"/>
    <brk id="57" max="16383" man="1"/>
    <brk id="67" max="16383" man="1"/>
    <brk id="81" max="16383" man="1"/>
    <brk id="98" max="16383" man="1"/>
    <brk id="105" max="16383" man="1"/>
    <brk id="121" max="16383" man="1"/>
    <brk id="12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43E3BC-3247-45B9-9B90-B2650AB3FDA1}">
  <dimension ref="A1:G154"/>
  <sheetViews>
    <sheetView showGridLines="0" showZeros="0" view="pageBreakPreview" zoomScaleNormal="100" zoomScaleSheetLayoutView="100" workbookViewId="0">
      <selection activeCell="A3" sqref="A3:F3"/>
    </sheetView>
  </sheetViews>
  <sheetFormatPr defaultColWidth="9.109375" defaultRowHeight="13.2"/>
  <cols>
    <col min="1" max="1" width="9.6640625" style="131" customWidth="1"/>
    <col min="2" max="2" width="36.44140625" style="131" customWidth="1"/>
    <col min="3" max="3" width="5.6640625" style="131" customWidth="1"/>
    <col min="4" max="4" width="9.6640625" style="131" customWidth="1"/>
    <col min="5" max="5" width="15.33203125" style="131" customWidth="1"/>
    <col min="6" max="6" width="15.6640625" style="131" customWidth="1"/>
    <col min="7" max="7" width="1.6640625" style="131" customWidth="1"/>
    <col min="8" max="8" width="13.109375" style="162" customWidth="1"/>
    <col min="9" max="16384" width="9.109375" style="162"/>
  </cols>
  <sheetData>
    <row r="1" spans="1:6" ht="7.5" customHeight="1"/>
    <row r="2" spans="1:6" ht="15.6">
      <c r="A2" s="353" t="s">
        <v>0</v>
      </c>
      <c r="B2" s="353"/>
      <c r="C2" s="353"/>
      <c r="D2" s="353"/>
      <c r="E2" s="353"/>
      <c r="F2" s="353"/>
    </row>
    <row r="3" spans="1:6" ht="45.75" customHeight="1">
      <c r="A3" s="344" t="s">
        <v>333</v>
      </c>
      <c r="B3" s="344"/>
      <c r="C3" s="344"/>
      <c r="D3" s="344"/>
      <c r="E3" s="344"/>
      <c r="F3" s="344"/>
    </row>
    <row r="4" spans="1:6">
      <c r="A4" s="358" t="s">
        <v>39</v>
      </c>
      <c r="B4" s="359"/>
      <c r="C4" s="359"/>
      <c r="D4" s="359"/>
      <c r="E4" s="359"/>
      <c r="F4" s="359"/>
    </row>
    <row r="5" spans="1:6" ht="4.5" customHeight="1" thickBot="1"/>
    <row r="6" spans="1:6" ht="27.6" thickTop="1" thickBot="1">
      <c r="A6" s="354" t="s">
        <v>1</v>
      </c>
      <c r="B6" s="356" t="s">
        <v>4</v>
      </c>
      <c r="C6" s="356" t="s">
        <v>10</v>
      </c>
      <c r="D6" s="273" t="s">
        <v>2</v>
      </c>
      <c r="E6" s="273" t="s">
        <v>5</v>
      </c>
      <c r="F6" s="132" t="s">
        <v>6</v>
      </c>
    </row>
    <row r="7" spans="1:6" ht="14.4" thickTop="1" thickBot="1">
      <c r="A7" s="355"/>
      <c r="B7" s="357"/>
      <c r="C7" s="357"/>
      <c r="D7" s="272" t="s">
        <v>7</v>
      </c>
      <c r="E7" s="272" t="s">
        <v>8</v>
      </c>
      <c r="F7" s="133" t="s">
        <v>9</v>
      </c>
    </row>
    <row r="8" spans="1:6" ht="9.9" customHeight="1" thickTop="1" thickBot="1">
      <c r="A8" s="271"/>
      <c r="B8" s="271"/>
      <c r="C8" s="271"/>
      <c r="D8" s="134"/>
      <c r="E8" s="134"/>
      <c r="F8" s="134"/>
    </row>
    <row r="9" spans="1:6" ht="20.100000000000001" customHeight="1" thickTop="1" thickBot="1">
      <c r="A9" s="159" t="s">
        <v>25</v>
      </c>
      <c r="B9" s="323" t="s">
        <v>12</v>
      </c>
      <c r="C9" s="348"/>
      <c r="D9" s="348"/>
      <c r="E9" s="348"/>
      <c r="F9" s="349"/>
    </row>
    <row r="10" spans="1:6" ht="12.75" customHeight="1" thickTop="1">
      <c r="A10" s="270"/>
      <c r="B10" s="219" t="s">
        <v>45</v>
      </c>
      <c r="C10" s="269"/>
      <c r="D10" s="269"/>
      <c r="E10" s="269"/>
      <c r="F10" s="135"/>
    </row>
    <row r="11" spans="1:6" ht="102" customHeight="1">
      <c r="A11" s="224"/>
      <c r="B11" s="243" t="s">
        <v>46</v>
      </c>
      <c r="C11" s="268"/>
      <c r="D11" s="268"/>
      <c r="E11" s="268"/>
      <c r="F11" s="136"/>
    </row>
    <row r="12" spans="1:6" ht="39.6">
      <c r="A12" s="172" t="s">
        <v>14</v>
      </c>
      <c r="B12" s="197" t="s">
        <v>261</v>
      </c>
      <c r="C12" s="170"/>
      <c r="D12" s="170"/>
      <c r="E12" s="187"/>
      <c r="F12" s="137"/>
    </row>
    <row r="13" spans="1:6" ht="39.6">
      <c r="A13" s="186"/>
      <c r="B13" s="225" t="s">
        <v>66</v>
      </c>
      <c r="C13" s="184"/>
      <c r="D13" s="184"/>
      <c r="E13" s="182"/>
      <c r="F13" s="138"/>
    </row>
    <row r="14" spans="1:6" ht="26.4">
      <c r="A14" s="181"/>
      <c r="B14" s="171" t="s">
        <v>231</v>
      </c>
      <c r="C14" s="179" t="s">
        <v>3</v>
      </c>
      <c r="D14" s="179">
        <v>1</v>
      </c>
      <c r="E14" s="168"/>
      <c r="F14" s="128">
        <f>D14*E14</f>
        <v>0</v>
      </c>
    </row>
    <row r="15" spans="1:6">
      <c r="A15" s="181"/>
      <c r="B15" s="267" t="s">
        <v>185</v>
      </c>
      <c r="C15" s="179" t="s">
        <v>3</v>
      </c>
      <c r="D15" s="179">
        <v>1</v>
      </c>
      <c r="E15" s="168"/>
      <c r="F15" s="128">
        <f>D15*E15</f>
        <v>0</v>
      </c>
    </row>
    <row r="16" spans="1:6" ht="66">
      <c r="A16" s="172" t="s">
        <v>15</v>
      </c>
      <c r="B16" s="197" t="s">
        <v>170</v>
      </c>
      <c r="C16" s="170"/>
      <c r="D16" s="170"/>
      <c r="E16" s="187"/>
      <c r="F16" s="137"/>
    </row>
    <row r="17" spans="1:6" ht="26.4">
      <c r="A17" s="186"/>
      <c r="B17" s="243" t="s">
        <v>67</v>
      </c>
      <c r="C17" s="184"/>
      <c r="D17" s="184"/>
      <c r="E17" s="182"/>
      <c r="F17" s="138"/>
    </row>
    <row r="18" spans="1:6">
      <c r="A18" s="181"/>
      <c r="B18" s="171" t="s">
        <v>260</v>
      </c>
      <c r="C18" s="179" t="s">
        <v>3</v>
      </c>
      <c r="D18" s="179">
        <v>1</v>
      </c>
      <c r="E18" s="168"/>
      <c r="F18" s="128">
        <f>D18*E18</f>
        <v>0</v>
      </c>
    </row>
    <row r="19" spans="1:6">
      <c r="A19" s="181"/>
      <c r="B19" s="171" t="s">
        <v>259</v>
      </c>
      <c r="C19" s="179" t="s">
        <v>3</v>
      </c>
      <c r="D19" s="179">
        <v>1</v>
      </c>
      <c r="E19" s="168"/>
      <c r="F19" s="128">
        <f>D19*E19</f>
        <v>0</v>
      </c>
    </row>
    <row r="20" spans="1:6" ht="39.6">
      <c r="A20" s="172" t="s">
        <v>16</v>
      </c>
      <c r="B20" s="234" t="s">
        <v>228</v>
      </c>
      <c r="C20" s="170"/>
      <c r="D20" s="170"/>
      <c r="E20" s="187"/>
      <c r="F20" s="137"/>
    </row>
    <row r="21" spans="1:6" ht="52.8">
      <c r="A21" s="186"/>
      <c r="B21" s="264" t="s">
        <v>105</v>
      </c>
      <c r="C21" s="184"/>
      <c r="D21" s="184"/>
      <c r="E21" s="182"/>
      <c r="F21" s="138"/>
    </row>
    <row r="22" spans="1:6" ht="26.4">
      <c r="A22" s="186"/>
      <c r="B22" s="185" t="s">
        <v>68</v>
      </c>
      <c r="C22" s="184"/>
      <c r="D22" s="184"/>
      <c r="E22" s="182"/>
      <c r="F22" s="138"/>
    </row>
    <row r="23" spans="1:6">
      <c r="A23" s="172"/>
      <c r="B23" s="180" t="s">
        <v>249</v>
      </c>
      <c r="C23" s="179" t="s">
        <v>13</v>
      </c>
      <c r="D23" s="289">
        <f>(2.24*2+3.07*2)*12.8</f>
        <v>135.93600000000001</v>
      </c>
      <c r="E23" s="168"/>
      <c r="F23" s="128">
        <f>D23*E23</f>
        <v>0</v>
      </c>
    </row>
    <row r="24" spans="1:6" ht="26.4">
      <c r="A24" s="172" t="s">
        <v>17</v>
      </c>
      <c r="B24" s="234" t="s">
        <v>258</v>
      </c>
      <c r="C24" s="170"/>
      <c r="D24" s="170"/>
      <c r="E24" s="187"/>
      <c r="F24" s="137"/>
    </row>
    <row r="25" spans="1:6" ht="52.8">
      <c r="A25" s="186"/>
      <c r="B25" s="264" t="s">
        <v>105</v>
      </c>
      <c r="C25" s="184"/>
      <c r="D25" s="184"/>
      <c r="E25" s="182"/>
      <c r="F25" s="138"/>
    </row>
    <row r="26" spans="1:6" ht="26.4">
      <c r="A26" s="186"/>
      <c r="B26" s="185" t="s">
        <v>68</v>
      </c>
      <c r="C26" s="184"/>
      <c r="D26" s="184"/>
      <c r="E26" s="182"/>
      <c r="F26" s="138"/>
    </row>
    <row r="27" spans="1:6">
      <c r="A27" s="181"/>
      <c r="B27" s="180" t="s">
        <v>257</v>
      </c>
      <c r="C27" s="179" t="s">
        <v>13</v>
      </c>
      <c r="D27" s="289">
        <f>0.25*4*2.5</f>
        <v>2.5</v>
      </c>
      <c r="E27" s="168"/>
      <c r="F27" s="128">
        <f>D27*E27</f>
        <v>0</v>
      </c>
    </row>
    <row r="28" spans="1:6" ht="26.4">
      <c r="A28" s="172" t="s">
        <v>18</v>
      </c>
      <c r="B28" s="197" t="s">
        <v>95</v>
      </c>
      <c r="C28" s="170"/>
      <c r="D28" s="170"/>
      <c r="E28" s="187"/>
      <c r="F28" s="137"/>
    </row>
    <row r="29" spans="1:6" ht="52.8">
      <c r="A29" s="186"/>
      <c r="B29" s="243" t="s">
        <v>96</v>
      </c>
      <c r="C29" s="184"/>
      <c r="D29" s="184"/>
      <c r="E29" s="182"/>
      <c r="F29" s="138"/>
    </row>
    <row r="30" spans="1:6" ht="26.4">
      <c r="A30" s="195"/>
      <c r="B30" s="194" t="s">
        <v>68</v>
      </c>
      <c r="C30" s="193" t="s">
        <v>13</v>
      </c>
      <c r="D30" s="249">
        <v>22.75</v>
      </c>
      <c r="E30" s="191"/>
      <c r="F30" s="130">
        <f>D30*E30</f>
        <v>0</v>
      </c>
    </row>
    <row r="31" spans="1:6" ht="9.9" customHeight="1">
      <c r="A31" s="139"/>
      <c r="B31" s="139"/>
      <c r="C31" s="139"/>
      <c r="D31" s="139"/>
      <c r="E31" s="139"/>
      <c r="F31" s="139"/>
    </row>
    <row r="32" spans="1:6" ht="20.100000000000001" customHeight="1" thickBot="1">
      <c r="A32" s="341" t="s">
        <v>11</v>
      </c>
      <c r="B32" s="342"/>
      <c r="C32" s="342"/>
      <c r="D32" s="342"/>
      <c r="E32" s="343"/>
      <c r="F32" s="140">
        <f>SUM(F12:F31)</f>
        <v>0</v>
      </c>
    </row>
    <row r="33" spans="1:6" ht="9.9" customHeight="1" thickTop="1" thickBot="1">
      <c r="A33" s="141"/>
      <c r="B33" s="141"/>
      <c r="C33" s="141"/>
      <c r="D33" s="141"/>
      <c r="E33" s="141"/>
      <c r="F33" s="141"/>
    </row>
    <row r="34" spans="1:6" ht="20.100000000000001" customHeight="1" thickTop="1" thickBot="1">
      <c r="A34" s="159" t="s">
        <v>29</v>
      </c>
      <c r="B34" s="323" t="s">
        <v>19</v>
      </c>
      <c r="C34" s="348"/>
      <c r="D34" s="348"/>
      <c r="E34" s="348"/>
      <c r="F34" s="349"/>
    </row>
    <row r="35" spans="1:6" ht="13.8" thickTop="1">
      <c r="A35" s="177" t="s">
        <v>20</v>
      </c>
      <c r="B35" s="131" t="s">
        <v>119</v>
      </c>
      <c r="C35" s="244"/>
      <c r="D35" s="244"/>
      <c r="E35" s="244"/>
      <c r="F35" s="138"/>
    </row>
    <row r="36" spans="1:6">
      <c r="A36" s="186"/>
      <c r="B36" s="131" t="s">
        <v>120</v>
      </c>
      <c r="C36" s="242"/>
      <c r="D36" s="242"/>
      <c r="E36" s="242"/>
      <c r="F36" s="138"/>
    </row>
    <row r="37" spans="1:6">
      <c r="A37" s="186"/>
      <c r="B37" s="131" t="s">
        <v>121</v>
      </c>
      <c r="C37" s="242"/>
      <c r="D37" s="242"/>
      <c r="E37" s="242"/>
      <c r="F37" s="138"/>
    </row>
    <row r="38" spans="1:6">
      <c r="A38" s="186"/>
      <c r="B38" s="131" t="s">
        <v>31</v>
      </c>
      <c r="C38" s="242"/>
      <c r="D38" s="242"/>
      <c r="E38" s="242"/>
      <c r="F38" s="138"/>
    </row>
    <row r="39" spans="1:6">
      <c r="A39" s="172"/>
      <c r="B39" s="197" t="s">
        <v>47</v>
      </c>
      <c r="C39" s="230"/>
      <c r="D39" s="230"/>
      <c r="E39" s="230"/>
      <c r="F39" s="137"/>
    </row>
    <row r="40" spans="1:6">
      <c r="A40" s="195"/>
      <c r="B40" s="254" t="s">
        <v>172</v>
      </c>
      <c r="C40" s="193" t="s">
        <v>13</v>
      </c>
      <c r="D40" s="253">
        <f>0.8*0.6</f>
        <v>0.48</v>
      </c>
      <c r="E40" s="191"/>
      <c r="F40" s="130">
        <f>D40*E40</f>
        <v>0</v>
      </c>
    </row>
    <row r="41" spans="1:6" ht="66">
      <c r="A41" s="172" t="s">
        <v>223</v>
      </c>
      <c r="B41" s="197" t="s">
        <v>128</v>
      </c>
      <c r="C41" s="170"/>
      <c r="D41" s="251"/>
      <c r="E41" s="187"/>
      <c r="F41" s="137"/>
    </row>
    <row r="42" spans="1:6" ht="39.6">
      <c r="A42" s="186"/>
      <c r="B42" s="243" t="s">
        <v>48</v>
      </c>
      <c r="C42" s="184"/>
      <c r="D42" s="250"/>
      <c r="E42" s="182"/>
      <c r="F42" s="138"/>
    </row>
    <row r="43" spans="1:6">
      <c r="A43" s="195"/>
      <c r="B43" s="194" t="s">
        <v>49</v>
      </c>
      <c r="C43" s="193"/>
      <c r="D43" s="249"/>
      <c r="E43" s="191"/>
      <c r="F43" s="130"/>
    </row>
    <row r="44" spans="1:6">
      <c r="A44" s="181"/>
      <c r="B44" s="254" t="s">
        <v>172</v>
      </c>
      <c r="C44" s="193" t="s">
        <v>13</v>
      </c>
      <c r="D44" s="253">
        <f>0.8*0.6</f>
        <v>0.48</v>
      </c>
      <c r="E44" s="168"/>
      <c r="F44" s="130">
        <f>D44*E44</f>
        <v>0</v>
      </c>
    </row>
    <row r="45" spans="1:6" ht="52.8">
      <c r="A45" s="172" t="s">
        <v>222</v>
      </c>
      <c r="B45" s="189" t="s">
        <v>99</v>
      </c>
      <c r="C45" s="170"/>
      <c r="D45" s="196"/>
      <c r="E45" s="187"/>
      <c r="F45" s="137"/>
    </row>
    <row r="46" spans="1:6">
      <c r="A46" s="186"/>
      <c r="B46" s="185" t="s">
        <v>97</v>
      </c>
      <c r="C46" s="184"/>
      <c r="D46" s="190"/>
      <c r="E46" s="182"/>
      <c r="F46" s="138"/>
    </row>
    <row r="47" spans="1:6">
      <c r="A47" s="186"/>
      <c r="B47" s="252" t="s">
        <v>98</v>
      </c>
      <c r="C47" s="184"/>
      <c r="D47" s="190"/>
      <c r="E47" s="182"/>
      <c r="F47" s="138"/>
    </row>
    <row r="48" spans="1:6" ht="39.6">
      <c r="A48" s="186"/>
      <c r="B48" s="185" t="s">
        <v>91</v>
      </c>
      <c r="C48" s="184"/>
      <c r="D48" s="190"/>
      <c r="E48" s="182"/>
      <c r="F48" s="138"/>
    </row>
    <row r="49" spans="1:6">
      <c r="A49" s="181"/>
      <c r="B49" s="206" t="s">
        <v>31</v>
      </c>
      <c r="C49" s="179" t="s">
        <v>13</v>
      </c>
      <c r="D49" s="178">
        <v>22.75</v>
      </c>
      <c r="E49" s="168"/>
      <c r="F49" s="128">
        <f>D49*E49</f>
        <v>0</v>
      </c>
    </row>
    <row r="50" spans="1:6" ht="9.9" customHeight="1">
      <c r="A50" s="139"/>
      <c r="B50" s="139"/>
      <c r="C50" s="139"/>
      <c r="D50" s="139"/>
      <c r="E50" s="139"/>
      <c r="F50" s="139"/>
    </row>
    <row r="51" spans="1:6" ht="20.100000000000001" customHeight="1" thickBot="1">
      <c r="A51" s="341" t="s">
        <v>21</v>
      </c>
      <c r="B51" s="342"/>
      <c r="C51" s="342"/>
      <c r="D51" s="342"/>
      <c r="E51" s="343"/>
      <c r="F51" s="140">
        <f>SUM(F40:F49)</f>
        <v>0</v>
      </c>
    </row>
    <row r="52" spans="1:6" ht="9.9" customHeight="1" thickTop="1" thickBot="1">
      <c r="A52" s="141"/>
      <c r="B52" s="141"/>
      <c r="C52" s="141"/>
      <c r="D52" s="141"/>
      <c r="E52" s="141"/>
      <c r="F52" s="141"/>
    </row>
    <row r="53" spans="1:6" ht="20.100000000000001" customHeight="1" thickTop="1" thickBot="1">
      <c r="A53" s="159" t="s">
        <v>28</v>
      </c>
      <c r="B53" s="323" t="s">
        <v>73</v>
      </c>
      <c r="C53" s="348"/>
      <c r="D53" s="348"/>
      <c r="E53" s="348"/>
      <c r="F53" s="349"/>
    </row>
    <row r="54" spans="1:6" ht="79.8" thickTop="1">
      <c r="A54" s="172" t="s">
        <v>27</v>
      </c>
      <c r="B54" s="197" t="s">
        <v>124</v>
      </c>
      <c r="C54" s="170"/>
      <c r="D54" s="251"/>
      <c r="E54" s="187"/>
      <c r="F54" s="137"/>
    </row>
    <row r="55" spans="1:6" ht="79.2">
      <c r="A55" s="186"/>
      <c r="B55" s="243" t="s">
        <v>123</v>
      </c>
      <c r="C55" s="184"/>
      <c r="D55" s="250"/>
      <c r="E55" s="182"/>
      <c r="F55" s="138"/>
    </row>
    <row r="56" spans="1:6" ht="92.4">
      <c r="A56" s="186"/>
      <c r="B56" s="243" t="s">
        <v>125</v>
      </c>
      <c r="C56" s="184"/>
      <c r="D56" s="250"/>
      <c r="E56" s="182"/>
      <c r="F56" s="138"/>
    </row>
    <row r="57" spans="1:6">
      <c r="A57" s="195"/>
      <c r="B57" s="194" t="s">
        <v>34</v>
      </c>
      <c r="C57" s="193"/>
      <c r="D57" s="249"/>
      <c r="E57" s="191"/>
      <c r="F57" s="130"/>
    </row>
    <row r="58" spans="1:6" ht="26.4">
      <c r="A58" s="248"/>
      <c r="B58" s="194" t="s">
        <v>256</v>
      </c>
      <c r="C58" s="179" t="s">
        <v>3</v>
      </c>
      <c r="D58" s="247">
        <v>1</v>
      </c>
      <c r="E58" s="191"/>
      <c r="F58" s="130">
        <f>D58*E58</f>
        <v>0</v>
      </c>
    </row>
    <row r="59" spans="1:6" ht="26.4">
      <c r="A59" s="248"/>
      <c r="B59" s="194" t="s">
        <v>255</v>
      </c>
      <c r="C59" s="179" t="s">
        <v>3</v>
      </c>
      <c r="D59" s="247">
        <v>1</v>
      </c>
      <c r="E59" s="191"/>
      <c r="F59" s="130">
        <f>D59*E59</f>
        <v>0</v>
      </c>
    </row>
    <row r="60" spans="1:6" ht="158.4">
      <c r="A60" s="172" t="s">
        <v>221</v>
      </c>
      <c r="B60" s="197" t="s">
        <v>180</v>
      </c>
      <c r="C60" s="170"/>
      <c r="D60" s="246"/>
      <c r="E60" s="187"/>
      <c r="F60" s="137"/>
    </row>
    <row r="61" spans="1:6" ht="66">
      <c r="A61" s="195"/>
      <c r="B61" s="194" t="s">
        <v>179</v>
      </c>
      <c r="C61" s="193"/>
      <c r="D61" s="247"/>
      <c r="E61" s="191"/>
      <c r="F61" s="130"/>
    </row>
    <row r="62" spans="1:6" ht="79.2">
      <c r="A62" s="186"/>
      <c r="B62" s="243" t="s">
        <v>123</v>
      </c>
      <c r="C62" s="184"/>
      <c r="D62" s="245"/>
      <c r="E62" s="182"/>
      <c r="F62" s="138"/>
    </row>
    <row r="63" spans="1:6" ht="92.4">
      <c r="A63" s="186"/>
      <c r="B63" s="243" t="s">
        <v>125</v>
      </c>
      <c r="C63" s="184"/>
      <c r="D63" s="245"/>
      <c r="E63" s="182"/>
      <c r="F63" s="138"/>
    </row>
    <row r="64" spans="1:6">
      <c r="A64" s="186"/>
      <c r="B64" s="243" t="s">
        <v>34</v>
      </c>
      <c r="C64" s="184"/>
      <c r="D64" s="245"/>
      <c r="E64" s="182"/>
      <c r="F64" s="138"/>
    </row>
    <row r="65" spans="1:6" ht="26.4">
      <c r="A65" s="181"/>
      <c r="B65" s="171" t="s">
        <v>178</v>
      </c>
      <c r="C65" s="179" t="s">
        <v>3</v>
      </c>
      <c r="D65" s="275">
        <v>1</v>
      </c>
      <c r="E65" s="168"/>
      <c r="F65" s="128">
        <f>D65*E65</f>
        <v>0</v>
      </c>
    </row>
    <row r="66" spans="1:6" ht="9.9" customHeight="1">
      <c r="A66" s="139"/>
      <c r="B66" s="139"/>
      <c r="C66" s="139"/>
      <c r="D66" s="139"/>
      <c r="E66" s="139"/>
      <c r="F66" s="139"/>
    </row>
    <row r="67" spans="1:6" ht="20.100000000000001" customHeight="1" thickBot="1">
      <c r="A67" s="341" t="s">
        <v>74</v>
      </c>
      <c r="B67" s="342"/>
      <c r="C67" s="342"/>
      <c r="D67" s="342"/>
      <c r="E67" s="343"/>
      <c r="F67" s="140">
        <f>SUM(F54:F65)</f>
        <v>0</v>
      </c>
    </row>
    <row r="68" spans="1:6" ht="9.9" customHeight="1" thickTop="1" thickBot="1">
      <c r="A68" s="141"/>
      <c r="B68" s="141"/>
      <c r="C68" s="141"/>
      <c r="D68" s="141"/>
      <c r="E68" s="141"/>
      <c r="F68" s="141"/>
    </row>
    <row r="69" spans="1:6" ht="19.5" customHeight="1" thickTop="1" thickBot="1">
      <c r="A69" s="159" t="s">
        <v>30</v>
      </c>
      <c r="B69" s="323" t="s">
        <v>75</v>
      </c>
      <c r="C69" s="324"/>
      <c r="D69" s="324"/>
      <c r="E69" s="324"/>
      <c r="F69" s="345"/>
    </row>
    <row r="70" spans="1:6" ht="53.4" thickTop="1">
      <c r="A70" s="186" t="s">
        <v>43</v>
      </c>
      <c r="B70" s="176" t="s">
        <v>220</v>
      </c>
      <c r="C70" s="244"/>
      <c r="D70" s="244"/>
      <c r="E70" s="244"/>
      <c r="F70" s="142"/>
    </row>
    <row r="71" spans="1:6" ht="52.8">
      <c r="A71" s="224"/>
      <c r="B71" s="243" t="s">
        <v>87</v>
      </c>
      <c r="C71" s="242"/>
      <c r="D71" s="242"/>
      <c r="E71" s="242"/>
      <c r="F71" s="143"/>
    </row>
    <row r="72" spans="1:6" ht="92.4">
      <c r="A72" s="224"/>
      <c r="B72" s="243" t="s">
        <v>88</v>
      </c>
      <c r="C72" s="242"/>
      <c r="D72" s="242"/>
      <c r="E72" s="242"/>
      <c r="F72" s="143"/>
    </row>
    <row r="73" spans="1:6" ht="132">
      <c r="A73" s="224"/>
      <c r="B73" s="243" t="s">
        <v>219</v>
      </c>
      <c r="C73" s="242"/>
      <c r="D73" s="242"/>
      <c r="E73" s="242"/>
      <c r="F73" s="143"/>
    </row>
    <row r="74" spans="1:6" ht="26.4">
      <c r="A74" s="224"/>
      <c r="B74" s="243" t="s">
        <v>89</v>
      </c>
      <c r="C74" s="242"/>
      <c r="D74" s="242"/>
      <c r="E74" s="242"/>
      <c r="F74" s="143"/>
    </row>
    <row r="75" spans="1:6" ht="12.75" customHeight="1">
      <c r="A75" s="241"/>
      <c r="B75" s="240" t="s">
        <v>218</v>
      </c>
      <c r="C75" s="239" t="s">
        <v>77</v>
      </c>
      <c r="D75" s="238">
        <v>1437.6</v>
      </c>
      <c r="E75" s="237"/>
      <c r="F75" s="128">
        <f>D75*E75</f>
        <v>0</v>
      </c>
    </row>
    <row r="76" spans="1:6" ht="9.9" customHeight="1">
      <c r="A76" s="145"/>
      <c r="B76" s="145"/>
      <c r="C76" s="145"/>
      <c r="D76" s="145"/>
      <c r="E76" s="145"/>
      <c r="F76" s="145"/>
    </row>
    <row r="77" spans="1:6" ht="19.5" customHeight="1" thickBot="1">
      <c r="A77" s="341" t="s">
        <v>76</v>
      </c>
      <c r="B77" s="342"/>
      <c r="C77" s="342"/>
      <c r="D77" s="342"/>
      <c r="E77" s="343"/>
      <c r="F77" s="140">
        <f>SUM(F74:F75)</f>
        <v>0</v>
      </c>
    </row>
    <row r="78" spans="1:6" ht="9.9" customHeight="1" thickTop="1" thickBot="1">
      <c r="A78" s="141"/>
      <c r="B78" s="141"/>
      <c r="C78" s="141"/>
      <c r="D78" s="141"/>
      <c r="E78" s="141"/>
      <c r="F78" s="141"/>
    </row>
    <row r="79" spans="1:6" ht="19.5" customHeight="1" thickTop="1" thickBot="1">
      <c r="A79" s="159" t="s">
        <v>35</v>
      </c>
      <c r="B79" s="323" t="s">
        <v>132</v>
      </c>
      <c r="C79" s="324"/>
      <c r="D79" s="324"/>
      <c r="E79" s="324"/>
      <c r="F79" s="345"/>
    </row>
    <row r="80" spans="1:6" ht="66.599999999999994" thickTop="1">
      <c r="A80" s="186" t="s">
        <v>63</v>
      </c>
      <c r="B80" s="236" t="s">
        <v>136</v>
      </c>
      <c r="C80" s="235"/>
      <c r="D80" s="234"/>
      <c r="E80" s="234"/>
      <c r="F80" s="146"/>
    </row>
    <row r="81" spans="1:6" ht="171.6">
      <c r="A81" s="224"/>
      <c r="B81" s="236" t="s">
        <v>137</v>
      </c>
      <c r="C81" s="235"/>
      <c r="D81" s="234"/>
      <c r="E81" s="234"/>
      <c r="F81" s="146"/>
    </row>
    <row r="82" spans="1:6" ht="26.4">
      <c r="A82" s="224"/>
      <c r="B82" s="236" t="s">
        <v>138</v>
      </c>
      <c r="C82" s="235"/>
      <c r="D82" s="234"/>
      <c r="E82" s="234"/>
      <c r="F82" s="146"/>
    </row>
    <row r="83" spans="1:6" ht="26.4">
      <c r="A83" s="224"/>
      <c r="B83" s="236" t="s">
        <v>134</v>
      </c>
      <c r="C83" s="235"/>
      <c r="D83" s="234"/>
      <c r="E83" s="234"/>
      <c r="F83" s="146"/>
    </row>
    <row r="84" spans="1:6" ht="118.8">
      <c r="A84" s="224"/>
      <c r="B84" s="236" t="s">
        <v>139</v>
      </c>
      <c r="C84" s="235"/>
      <c r="D84" s="234"/>
      <c r="E84" s="234"/>
      <c r="F84" s="146"/>
    </row>
    <row r="85" spans="1:6" ht="105.6">
      <c r="A85" s="224"/>
      <c r="B85" s="236" t="s">
        <v>140</v>
      </c>
      <c r="C85" s="235"/>
      <c r="D85" s="234"/>
      <c r="E85" s="234"/>
      <c r="F85" s="147"/>
    </row>
    <row r="86" spans="1:6" ht="52.8">
      <c r="A86" s="224"/>
      <c r="B86" s="223" t="s">
        <v>141</v>
      </c>
      <c r="C86" s="233"/>
      <c r="D86" s="232"/>
      <c r="E86" s="223"/>
      <c r="F86" s="148"/>
    </row>
    <row r="87" spans="1:6" ht="12.75" customHeight="1">
      <c r="A87" s="181"/>
      <c r="B87" s="206" t="s">
        <v>142</v>
      </c>
      <c r="C87" s="179" t="s">
        <v>135</v>
      </c>
      <c r="D87" s="178">
        <f>5.55*4.95</f>
        <v>27.4725</v>
      </c>
      <c r="E87" s="168"/>
      <c r="F87" s="128">
        <f>D87*E87</f>
        <v>0</v>
      </c>
    </row>
    <row r="88" spans="1:6" ht="12.75" customHeight="1">
      <c r="A88" s="231"/>
      <c r="B88" s="230" t="s">
        <v>143</v>
      </c>
      <c r="C88" s="229"/>
      <c r="D88" s="229"/>
      <c r="E88" s="229"/>
      <c r="F88" s="129"/>
    </row>
    <row r="89" spans="1:6" ht="12.75" customHeight="1">
      <c r="A89" s="195"/>
      <c r="B89" s="228" t="s">
        <v>254</v>
      </c>
      <c r="C89" s="193" t="s">
        <v>135</v>
      </c>
      <c r="D89" s="192">
        <f>0.35*(4.95*2+5.55*2)</f>
        <v>7.35</v>
      </c>
      <c r="E89" s="191"/>
      <c r="F89" s="130">
        <f>D89*E89</f>
        <v>0</v>
      </c>
    </row>
    <row r="90" spans="1:6" ht="10.5" customHeight="1">
      <c r="A90" s="217"/>
      <c r="B90" s="218"/>
      <c r="C90" s="218"/>
      <c r="D90" s="218"/>
      <c r="E90" s="218"/>
      <c r="F90" s="150"/>
    </row>
    <row r="91" spans="1:6" ht="18.75" customHeight="1" thickBot="1">
      <c r="A91" s="341" t="s">
        <v>133</v>
      </c>
      <c r="B91" s="342"/>
      <c r="C91" s="342"/>
      <c r="D91" s="342"/>
      <c r="E91" s="343"/>
      <c r="F91" s="140">
        <f>SUM(F80:F89)</f>
        <v>0</v>
      </c>
    </row>
    <row r="92" spans="1:6" ht="10.5" customHeight="1" thickTop="1" thickBot="1">
      <c r="A92" s="141"/>
      <c r="B92" s="141"/>
      <c r="C92" s="141"/>
      <c r="D92" s="141"/>
      <c r="E92" s="141"/>
      <c r="F92" s="141"/>
    </row>
    <row r="93" spans="1:6" ht="18" customHeight="1" thickTop="1" thickBot="1">
      <c r="A93" s="159" t="s">
        <v>36</v>
      </c>
      <c r="B93" s="323" t="s">
        <v>57</v>
      </c>
      <c r="C93" s="324"/>
      <c r="D93" s="324"/>
      <c r="E93" s="324"/>
      <c r="F93" s="345"/>
    </row>
    <row r="94" spans="1:6" ht="53.4" thickTop="1">
      <c r="A94" s="177" t="s">
        <v>33</v>
      </c>
      <c r="B94" s="220" t="s">
        <v>84</v>
      </c>
      <c r="C94" s="219"/>
      <c r="D94" s="219"/>
      <c r="E94" s="219"/>
      <c r="F94" s="151"/>
    </row>
    <row r="95" spans="1:6" ht="12.75" customHeight="1">
      <c r="A95" s="217"/>
      <c r="B95" s="218" t="s">
        <v>58</v>
      </c>
      <c r="C95" s="218"/>
      <c r="D95" s="218"/>
      <c r="E95" s="218"/>
      <c r="F95" s="150"/>
    </row>
    <row r="96" spans="1:6" ht="12.75" customHeight="1">
      <c r="A96" s="214"/>
      <c r="B96" s="213" t="s">
        <v>59</v>
      </c>
      <c r="C96" s="213"/>
      <c r="D96" s="213"/>
      <c r="E96" s="213"/>
      <c r="F96" s="152"/>
    </row>
    <row r="97" spans="1:6" ht="12.75" customHeight="1">
      <c r="A97" s="217"/>
      <c r="B97" s="216" t="s">
        <v>253</v>
      </c>
      <c r="C97" s="193" t="s">
        <v>13</v>
      </c>
      <c r="D97" s="274">
        <f>2.5*19.1+(2.24*2+3.07*2)*12.81</f>
        <v>183.79220000000001</v>
      </c>
      <c r="E97" s="210"/>
      <c r="F97" s="130">
        <f>D97*E97</f>
        <v>0</v>
      </c>
    </row>
    <row r="98" spans="1:6" ht="12.75" customHeight="1">
      <c r="A98" s="214"/>
      <c r="B98" s="213" t="s">
        <v>60</v>
      </c>
      <c r="C98" s="170"/>
      <c r="D98" s="170"/>
      <c r="E98" s="208"/>
      <c r="F98" s="137"/>
    </row>
    <row r="99" spans="1:6" ht="12.75" customHeight="1">
      <c r="A99" s="217"/>
      <c r="B99" s="216" t="s">
        <v>252</v>
      </c>
      <c r="C99" s="193" t="s">
        <v>13</v>
      </c>
      <c r="D99" s="215">
        <f>22.75+36.86</f>
        <v>59.61</v>
      </c>
      <c r="E99" s="210"/>
      <c r="F99" s="130">
        <f>D99*E99</f>
        <v>0</v>
      </c>
    </row>
    <row r="100" spans="1:6" ht="237.6">
      <c r="A100" s="186" t="s">
        <v>211</v>
      </c>
      <c r="B100" s="204" t="s">
        <v>210</v>
      </c>
      <c r="C100" s="202"/>
      <c r="D100" s="202"/>
      <c r="E100" s="201"/>
      <c r="F100" s="153"/>
    </row>
    <row r="101" spans="1:6" ht="12.75" customHeight="1">
      <c r="A101" s="203"/>
      <c r="B101" s="202" t="s">
        <v>58</v>
      </c>
      <c r="C101" s="202"/>
      <c r="D101" s="202"/>
      <c r="E101" s="201"/>
      <c r="F101" s="153"/>
    </row>
    <row r="102" spans="1:6">
      <c r="A102" s="200"/>
      <c r="B102" s="180" t="s">
        <v>251</v>
      </c>
      <c r="C102" s="179" t="s">
        <v>13</v>
      </c>
      <c r="D102" s="298">
        <f>0.6*4.95</f>
        <v>2.97</v>
      </c>
      <c r="E102" s="205"/>
      <c r="F102" s="128">
        <f>D102*E102</f>
        <v>0</v>
      </c>
    </row>
    <row r="103" spans="1:6" ht="9" customHeight="1">
      <c r="A103" s="145"/>
      <c r="B103" s="145"/>
      <c r="C103" s="145"/>
      <c r="D103" s="145"/>
      <c r="E103" s="145"/>
      <c r="F103" s="145"/>
    </row>
    <row r="104" spans="1:6" ht="19.5" customHeight="1" thickBot="1">
      <c r="A104" s="341" t="s">
        <v>37</v>
      </c>
      <c r="B104" s="342"/>
      <c r="C104" s="342"/>
      <c r="D104" s="342"/>
      <c r="E104" s="343"/>
      <c r="F104" s="140">
        <f>SUM(F95:F103)</f>
        <v>0</v>
      </c>
    </row>
    <row r="105" spans="1:6" ht="9.9" customHeight="1" thickTop="1" thickBot="1">
      <c r="A105" s="141"/>
      <c r="B105" s="141"/>
      <c r="C105" s="141"/>
      <c r="D105" s="141"/>
      <c r="E105" s="141"/>
      <c r="F105" s="141"/>
    </row>
    <row r="106" spans="1:6" ht="20.100000000000001" customHeight="1" thickTop="1" thickBot="1">
      <c r="A106" s="159" t="s">
        <v>62</v>
      </c>
      <c r="B106" s="323" t="s">
        <v>42</v>
      </c>
      <c r="C106" s="324"/>
      <c r="D106" s="324"/>
      <c r="E106" s="324"/>
      <c r="F106" s="345"/>
    </row>
    <row r="107" spans="1:6" ht="93" thickTop="1">
      <c r="A107" s="172" t="s">
        <v>63</v>
      </c>
      <c r="B107" s="197" t="s">
        <v>54</v>
      </c>
      <c r="C107" s="170"/>
      <c r="D107" s="196"/>
      <c r="E107" s="187"/>
      <c r="F107" s="137"/>
    </row>
    <row r="108" spans="1:6" ht="38.25" customHeight="1">
      <c r="A108" s="195"/>
      <c r="B108" s="194" t="s">
        <v>53</v>
      </c>
      <c r="C108" s="193"/>
      <c r="D108" s="192"/>
      <c r="E108" s="191"/>
      <c r="F108" s="130"/>
    </row>
    <row r="109" spans="1:6">
      <c r="A109" s="186"/>
      <c r="B109" s="185" t="s">
        <v>172</v>
      </c>
      <c r="C109" s="170" t="s">
        <v>13</v>
      </c>
      <c r="D109" s="190">
        <f>0.8*0.6</f>
        <v>0.48</v>
      </c>
      <c r="E109" s="182"/>
      <c r="F109" s="138">
        <f>D109*E109</f>
        <v>0</v>
      </c>
    </row>
    <row r="110" spans="1:6" ht="51" customHeight="1">
      <c r="A110" s="172" t="s">
        <v>64</v>
      </c>
      <c r="B110" s="189" t="s">
        <v>82</v>
      </c>
      <c r="C110" s="170"/>
      <c r="D110" s="188"/>
      <c r="E110" s="187"/>
      <c r="F110" s="137"/>
    </row>
    <row r="111" spans="1:6">
      <c r="A111" s="186"/>
      <c r="B111" s="185" t="s">
        <v>61</v>
      </c>
      <c r="C111" s="184"/>
      <c r="D111" s="183"/>
      <c r="E111" s="182"/>
      <c r="F111" s="138"/>
    </row>
    <row r="112" spans="1:6">
      <c r="A112" s="181"/>
      <c r="B112" s="206" t="s">
        <v>250</v>
      </c>
      <c r="C112" s="179" t="s">
        <v>13</v>
      </c>
      <c r="D112" s="178">
        <f>2.8*(4.95*2+5.55*2)</f>
        <v>58.8</v>
      </c>
      <c r="E112" s="168"/>
      <c r="F112" s="128">
        <f>D112*E112</f>
        <v>0</v>
      </c>
    </row>
    <row r="113" spans="1:6" ht="9.9" customHeight="1">
      <c r="A113" s="139"/>
      <c r="B113" s="139"/>
      <c r="C113" s="139"/>
      <c r="D113" s="139"/>
      <c r="E113" s="139"/>
      <c r="F113" s="139"/>
    </row>
    <row r="114" spans="1:6" ht="20.100000000000001" customHeight="1" thickBot="1">
      <c r="A114" s="341" t="s">
        <v>65</v>
      </c>
      <c r="B114" s="342"/>
      <c r="C114" s="342"/>
      <c r="D114" s="342"/>
      <c r="E114" s="343"/>
      <c r="F114" s="140">
        <f>SUM(F107:F112)</f>
        <v>0</v>
      </c>
    </row>
    <row r="115" spans="1:6" ht="9.9" customHeight="1" thickTop="1" thickBot="1">
      <c r="A115" s="141"/>
      <c r="B115" s="141"/>
      <c r="C115" s="141"/>
      <c r="D115" s="141"/>
      <c r="E115" s="141"/>
      <c r="F115" s="141"/>
    </row>
    <row r="116" spans="1:6" ht="20.100000000000001" customHeight="1" thickTop="1" thickBot="1">
      <c r="A116" s="159" t="s">
        <v>55</v>
      </c>
      <c r="B116" s="323" t="s">
        <v>207</v>
      </c>
      <c r="C116" s="348"/>
      <c r="D116" s="348"/>
      <c r="E116" s="348"/>
      <c r="F116" s="349"/>
    </row>
    <row r="117" spans="1:6" ht="66.599999999999994" thickTop="1">
      <c r="A117" s="177" t="s">
        <v>56</v>
      </c>
      <c r="B117" s="293" t="s">
        <v>206</v>
      </c>
      <c r="C117" s="175"/>
      <c r="D117" s="174"/>
      <c r="E117" s="173"/>
      <c r="F117" s="154"/>
    </row>
    <row r="118" spans="1:6" ht="105.6">
      <c r="A118" s="186"/>
      <c r="B118" s="293" t="s">
        <v>205</v>
      </c>
      <c r="C118" s="184"/>
      <c r="D118" s="290"/>
      <c r="E118" s="182"/>
      <c r="F118" s="138"/>
    </row>
    <row r="119" spans="1:6" ht="39.6">
      <c r="A119" s="186"/>
      <c r="B119" s="243" t="s">
        <v>204</v>
      </c>
      <c r="C119" s="184"/>
      <c r="D119" s="290"/>
      <c r="E119" s="182"/>
      <c r="F119" s="138"/>
    </row>
    <row r="120" spans="1:6" ht="66">
      <c r="A120" s="186"/>
      <c r="B120" s="297" t="s">
        <v>203</v>
      </c>
      <c r="C120" s="184"/>
      <c r="D120" s="290"/>
      <c r="E120" s="182"/>
      <c r="F120" s="138"/>
    </row>
    <row r="121" spans="1:6" ht="66">
      <c r="A121" s="186"/>
      <c r="B121" s="296" t="s">
        <v>202</v>
      </c>
      <c r="C121" s="184"/>
      <c r="D121" s="290"/>
      <c r="E121" s="182"/>
      <c r="F121" s="138"/>
    </row>
    <row r="122" spans="1:6" ht="39.6">
      <c r="A122" s="186"/>
      <c r="B122" s="295" t="s">
        <v>201</v>
      </c>
      <c r="C122" s="184"/>
      <c r="D122" s="290"/>
      <c r="E122" s="182"/>
      <c r="F122" s="138"/>
    </row>
    <row r="123" spans="1:6">
      <c r="A123" s="172"/>
      <c r="B123" s="180" t="s">
        <v>249</v>
      </c>
      <c r="C123" s="179" t="s">
        <v>13</v>
      </c>
      <c r="D123" s="289">
        <f>(2.24*2+3.07*2)*12.8</f>
        <v>135.93600000000001</v>
      </c>
      <c r="E123" s="294"/>
      <c r="F123" s="128">
        <f>D123*E123</f>
        <v>0</v>
      </c>
    </row>
    <row r="124" spans="1:6" ht="39.6">
      <c r="A124" s="172" t="s">
        <v>157</v>
      </c>
      <c r="B124" s="293" t="s">
        <v>199</v>
      </c>
      <c r="C124" s="184"/>
      <c r="D124" s="290"/>
      <c r="E124" s="182"/>
      <c r="F124" s="138"/>
    </row>
    <row r="125" spans="1:6" ht="132">
      <c r="A125" s="186"/>
      <c r="B125" s="243" t="s">
        <v>198</v>
      </c>
      <c r="C125" s="184"/>
      <c r="D125" s="290"/>
      <c r="E125" s="182"/>
      <c r="F125" s="138"/>
    </row>
    <row r="126" spans="1:6" ht="26.4">
      <c r="A126" s="186"/>
      <c r="B126" s="292" t="s">
        <v>197</v>
      </c>
      <c r="C126" s="184"/>
      <c r="D126" s="290"/>
      <c r="E126" s="182"/>
      <c r="F126" s="138"/>
    </row>
    <row r="127" spans="1:6" ht="39.6">
      <c r="A127" s="186"/>
      <c r="B127" s="291" t="s">
        <v>196</v>
      </c>
      <c r="C127" s="184"/>
      <c r="D127" s="290"/>
      <c r="E127" s="182"/>
      <c r="F127" s="138"/>
    </row>
    <row r="128" spans="1:6">
      <c r="A128" s="181"/>
      <c r="B128" s="180" t="s">
        <v>248</v>
      </c>
      <c r="C128" s="179" t="s">
        <v>13</v>
      </c>
      <c r="D128" s="289">
        <f>0.25*4*(2.5+1.57+0.68*2)</f>
        <v>5.4300000000000006</v>
      </c>
      <c r="E128" s="168"/>
      <c r="F128" s="128">
        <f>D128*E128</f>
        <v>0</v>
      </c>
    </row>
    <row r="129" spans="1:6">
      <c r="A129" s="139"/>
      <c r="B129" s="139"/>
      <c r="C129" s="139"/>
      <c r="D129" s="139"/>
      <c r="E129" s="139"/>
      <c r="F129" s="139"/>
    </row>
    <row r="130" spans="1:6" ht="16.5" customHeight="1" thickBot="1">
      <c r="A130" s="341" t="s">
        <v>186</v>
      </c>
      <c r="B130" s="342"/>
      <c r="C130" s="342"/>
      <c r="D130" s="342"/>
      <c r="E130" s="343"/>
      <c r="F130" s="140">
        <f>SUM(F117:F129)</f>
        <v>0</v>
      </c>
    </row>
    <row r="131" spans="1:6" ht="12" customHeight="1" thickTop="1" thickBot="1">
      <c r="A131" s="141"/>
      <c r="B131" s="141"/>
      <c r="C131" s="141"/>
      <c r="D131" s="141"/>
      <c r="E131" s="141"/>
      <c r="F131" s="141"/>
    </row>
    <row r="132" spans="1:6" ht="18" customHeight="1" thickTop="1" thickBot="1">
      <c r="A132" s="159" t="s">
        <v>158</v>
      </c>
      <c r="B132" s="323" t="s">
        <v>22</v>
      </c>
      <c r="C132" s="348"/>
      <c r="D132" s="348"/>
      <c r="E132" s="348"/>
      <c r="F132" s="349"/>
    </row>
    <row r="133" spans="1:6" ht="27" thickTop="1">
      <c r="A133" s="177" t="s">
        <v>159</v>
      </c>
      <c r="B133" s="176" t="s">
        <v>83</v>
      </c>
      <c r="C133" s="175"/>
      <c r="D133" s="174"/>
      <c r="E133" s="173"/>
      <c r="F133" s="154"/>
    </row>
    <row r="134" spans="1:6">
      <c r="A134" s="172"/>
      <c r="B134" s="171" t="s">
        <v>31</v>
      </c>
      <c r="C134" s="170" t="s">
        <v>13</v>
      </c>
      <c r="D134" s="169">
        <f>22.75+2.5*1.8*4</f>
        <v>40.75</v>
      </c>
      <c r="E134" s="168"/>
      <c r="F134" s="128">
        <f>D134*E134</f>
        <v>0</v>
      </c>
    </row>
    <row r="135" spans="1:6" ht="9.9" customHeight="1">
      <c r="A135" s="139"/>
      <c r="B135" s="139"/>
      <c r="C135" s="139"/>
      <c r="D135" s="139"/>
      <c r="E135" s="139"/>
      <c r="F135" s="139"/>
    </row>
    <row r="136" spans="1:6" ht="20.100000000000001" customHeight="1" thickBot="1">
      <c r="A136" s="341" t="s">
        <v>38</v>
      </c>
      <c r="B136" s="342"/>
      <c r="C136" s="342"/>
      <c r="D136" s="342"/>
      <c r="E136" s="343"/>
      <c r="F136" s="140">
        <f>SUM(F134:F135)</f>
        <v>0</v>
      </c>
    </row>
    <row r="137" spans="1:6" ht="9.9" customHeight="1" thickTop="1"/>
    <row r="139" spans="1:6" ht="39.75" customHeight="1">
      <c r="A139" s="344" t="s">
        <v>333</v>
      </c>
      <c r="B139" s="344"/>
      <c r="C139" s="344"/>
      <c r="D139" s="344"/>
      <c r="E139" s="344"/>
      <c r="F139" s="344"/>
    </row>
    <row r="140" spans="1:6" ht="13.8" thickBot="1"/>
    <row r="141" spans="1:6" ht="16.8" thickTop="1" thickBot="1">
      <c r="A141" s="350" t="s">
        <v>40</v>
      </c>
      <c r="B141" s="351"/>
      <c r="C141" s="351"/>
      <c r="D141" s="351"/>
      <c r="E141" s="351"/>
      <c r="F141" s="352"/>
    </row>
    <row r="142" spans="1:6" ht="14.4" thickTop="1" thickBot="1"/>
    <row r="143" spans="1:6" ht="20.25" customHeight="1" thickTop="1" thickBot="1">
      <c r="A143" s="159" t="s">
        <v>23</v>
      </c>
      <c r="B143" s="160" t="s">
        <v>24</v>
      </c>
      <c r="C143" s="161"/>
      <c r="D143" s="161"/>
      <c r="E143" s="161"/>
      <c r="F143" s="156"/>
    </row>
    <row r="144" spans="1:6" ht="20.100000000000001" customHeight="1" thickTop="1" thickBot="1">
      <c r="A144" s="159" t="str">
        <f>A9</f>
        <v>01.01.00.</v>
      </c>
      <c r="B144" s="323" t="str">
        <f>B9</f>
        <v>ДЕМОНТАЖНИ РАДОВИ</v>
      </c>
      <c r="C144" s="324"/>
      <c r="D144" s="324"/>
      <c r="E144" s="325"/>
      <c r="F144" s="157">
        <f>F32</f>
        <v>0</v>
      </c>
    </row>
    <row r="145" spans="1:6" ht="20.100000000000001" customHeight="1" thickTop="1" thickBot="1">
      <c r="A145" s="159" t="str">
        <f>A34</f>
        <v>01.02.00.</v>
      </c>
      <c r="B145" s="163" t="str">
        <f>B34</f>
        <v>ЗИДАРСКИ РАДОВИ</v>
      </c>
      <c r="C145" s="164"/>
      <c r="D145" s="164"/>
      <c r="E145" s="165"/>
      <c r="F145" s="157">
        <f>F51</f>
        <v>0</v>
      </c>
    </row>
    <row r="146" spans="1:6" ht="20.100000000000001" customHeight="1" thickTop="1" thickBot="1">
      <c r="A146" s="159" t="str">
        <f>A53</f>
        <v>01.03.00.</v>
      </c>
      <c r="B146" s="323" t="str">
        <f>B53</f>
        <v>БРАВАРСКИ РАДОВИ</v>
      </c>
      <c r="C146" s="324"/>
      <c r="D146" s="324"/>
      <c r="E146" s="325"/>
      <c r="F146" s="157">
        <f>F67</f>
        <v>0</v>
      </c>
    </row>
    <row r="147" spans="1:6" ht="20.100000000000001" customHeight="1" thickTop="1" thickBot="1">
      <c r="A147" s="159" t="str">
        <f>A69</f>
        <v>01.04.00.</v>
      </c>
      <c r="B147" s="163" t="str">
        <f>B69</f>
        <v>ЧЕЛИЧНА КОНСТРУКЦИЈА</v>
      </c>
      <c r="C147" s="164"/>
      <c r="D147" s="164"/>
      <c r="E147" s="165"/>
      <c r="F147" s="157">
        <f>F77</f>
        <v>0</v>
      </c>
    </row>
    <row r="148" spans="1:6" ht="20.100000000000001" customHeight="1" thickTop="1" thickBot="1">
      <c r="A148" s="159" t="str">
        <f>A79</f>
        <v>01.05.00.</v>
      </c>
      <c r="B148" s="163" t="str">
        <f>B79</f>
        <v>ЛИМАРСКИ РАДОВИ</v>
      </c>
      <c r="C148" s="164"/>
      <c r="D148" s="164"/>
      <c r="E148" s="165"/>
      <c r="F148" s="157">
        <f>F91</f>
        <v>0</v>
      </c>
    </row>
    <row r="149" spans="1:6" ht="20.100000000000001" customHeight="1" thickTop="1" thickBot="1">
      <c r="A149" s="159" t="str">
        <f>A93</f>
        <v>01.06.00.</v>
      </c>
      <c r="B149" s="163" t="str">
        <f>B93</f>
        <v>МОЛЕРСКО ФАРБАРСКИ РАДОВИ</v>
      </c>
      <c r="C149" s="164"/>
      <c r="D149" s="164"/>
      <c r="E149" s="165"/>
      <c r="F149" s="157">
        <f>F104</f>
        <v>0</v>
      </c>
    </row>
    <row r="150" spans="1:6" ht="20.100000000000001" customHeight="1" thickTop="1" thickBot="1">
      <c r="A150" s="159" t="str">
        <f>A106</f>
        <v>01.07.00.</v>
      </c>
      <c r="B150" s="323" t="str">
        <f>B106</f>
        <v>ФАСАДЕРСКИ РАДОВИ</v>
      </c>
      <c r="C150" s="324"/>
      <c r="D150" s="324"/>
      <c r="E150" s="325"/>
      <c r="F150" s="157">
        <f>F114</f>
        <v>0</v>
      </c>
    </row>
    <row r="151" spans="1:6" ht="20.100000000000001" customHeight="1" thickTop="1" thickBot="1">
      <c r="A151" s="159" t="str">
        <f>A116</f>
        <v>01.08.00.</v>
      </c>
      <c r="B151" s="323" t="str">
        <f>B116</f>
        <v>СУВОМОНТАЖНИ РАДОВИ</v>
      </c>
      <c r="C151" s="324"/>
      <c r="D151" s="324"/>
      <c r="E151" s="325"/>
      <c r="F151" s="157">
        <f>F130</f>
        <v>0</v>
      </c>
    </row>
    <row r="152" spans="1:6" ht="20.100000000000001" customHeight="1" thickTop="1" thickBot="1">
      <c r="A152" s="166" t="str">
        <f>A132</f>
        <v>01.09.00.</v>
      </c>
      <c r="B152" s="163" t="str">
        <f>B132</f>
        <v>РАЗНИ РАДОВИ</v>
      </c>
      <c r="C152" s="164"/>
      <c r="D152" s="164"/>
      <c r="E152" s="165"/>
      <c r="F152" s="158">
        <f>F136</f>
        <v>0</v>
      </c>
    </row>
    <row r="153" spans="1:6" ht="20.100000000000001" customHeight="1" thickTop="1" thickBot="1">
      <c r="A153" s="166"/>
      <c r="B153" s="164"/>
      <c r="C153" s="164"/>
      <c r="D153" s="346" t="s">
        <v>41</v>
      </c>
      <c r="E153" s="347"/>
      <c r="F153" s="158">
        <f>SUM(F144:F152)</f>
        <v>0</v>
      </c>
    </row>
    <row r="154" spans="1:6" ht="13.8" thickTop="1"/>
  </sheetData>
  <sheetProtection algorithmName="SHA-512" hashValue="IoRM2fLt8DSuTSmHg++L5B6KWwRbRH2eC+M9iu11p2kgb+4tci1hvKDr8kZ0q10GYj3D0a3I8Y2XmPWwzvs7eQ==" saltValue="8+7G5R0y+ICXDEm6tjFk5A==" spinCount="100000" sheet="1" formatCells="0" formatColumns="0" formatRows="0" insertColumns="0" insertRows="0" insertHyperlinks="0" deleteColumns="0" deleteRows="0" sort="0" autoFilter="0" pivotTables="0"/>
  <protectedRanges>
    <protectedRange sqref="E1:E1048576" name="Range1"/>
  </protectedRanges>
  <mergeCells count="31">
    <mergeCell ref="D153:E153"/>
    <mergeCell ref="A141:F141"/>
    <mergeCell ref="B151:E151"/>
    <mergeCell ref="A2:F2"/>
    <mergeCell ref="B9:F9"/>
    <mergeCell ref="A6:A7"/>
    <mergeCell ref="B6:B7"/>
    <mergeCell ref="C6:C7"/>
    <mergeCell ref="A32:E32"/>
    <mergeCell ref="A51:E51"/>
    <mergeCell ref="B144:E144"/>
    <mergeCell ref="B79:F79"/>
    <mergeCell ref="A104:E104"/>
    <mergeCell ref="A130:E130"/>
    <mergeCell ref="B132:F132"/>
    <mergeCell ref="A91:E91"/>
    <mergeCell ref="A3:F3"/>
    <mergeCell ref="A4:F4"/>
    <mergeCell ref="B53:F53"/>
    <mergeCell ref="A67:E67"/>
    <mergeCell ref="A139:F139"/>
    <mergeCell ref="B93:F93"/>
    <mergeCell ref="A114:E114"/>
    <mergeCell ref="B106:F106"/>
    <mergeCell ref="B69:F69"/>
    <mergeCell ref="A77:E77"/>
    <mergeCell ref="B150:E150"/>
    <mergeCell ref="B116:F116"/>
    <mergeCell ref="B34:F34"/>
    <mergeCell ref="A136:E136"/>
    <mergeCell ref="B146:E146"/>
  </mergeCells>
  <pageMargins left="0.90551181102362199" right="0.196850393700787" top="0.39370078740157499" bottom="0.39370078740157499" header="0" footer="0.196850393700787"/>
  <pageSetup paperSize="9" orientation="portrait" r:id="rId1"/>
  <headerFooter>
    <oddFooter xml:space="preserve">&amp;R&amp;"Arial,Regular"&amp;9Страна  &amp;"Arial,Bold"&amp;P&amp;"Arial,Regular"  од  &amp;N  </oddFooter>
  </headerFooter>
  <rowBreaks count="11" manualBreakCount="11">
    <brk id="27" max="16383" man="1"/>
    <brk id="32" max="16383" man="1"/>
    <brk id="51" max="16383" man="1"/>
    <brk id="61" max="16383" man="1"/>
    <brk id="67" max="16383" man="1"/>
    <brk id="77" max="16383" man="1"/>
    <brk id="91" max="16383" man="1"/>
    <brk id="104" max="16383" man="1"/>
    <brk id="114" max="16383" man="1"/>
    <brk id="130" max="16383" man="1"/>
    <brk id="13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040EB6-696B-434C-B923-3C798D6A9B03}">
  <dimension ref="A1:G129"/>
  <sheetViews>
    <sheetView showGridLines="0" showZeros="0" view="pageBreakPreview" zoomScaleNormal="100" zoomScaleSheetLayoutView="100" workbookViewId="0">
      <selection activeCell="A3" sqref="A3:F3"/>
    </sheetView>
  </sheetViews>
  <sheetFormatPr defaultColWidth="9.109375" defaultRowHeight="13.2"/>
  <cols>
    <col min="1" max="1" width="9.6640625" style="131" customWidth="1"/>
    <col min="2" max="2" width="36.44140625" style="131" customWidth="1"/>
    <col min="3" max="3" width="5.6640625" style="131" customWidth="1"/>
    <col min="4" max="4" width="9.6640625" style="131" customWidth="1"/>
    <col min="5" max="5" width="15.33203125" style="131" customWidth="1"/>
    <col min="6" max="6" width="15.6640625" style="131" customWidth="1"/>
    <col min="7" max="7" width="1.6640625" style="131" customWidth="1"/>
    <col min="8" max="8" width="13.109375" style="162" customWidth="1"/>
    <col min="9" max="16384" width="9.109375" style="162"/>
  </cols>
  <sheetData>
    <row r="1" spans="1:6" ht="7.5" customHeight="1"/>
    <row r="2" spans="1:6" ht="15.6">
      <c r="A2" s="353" t="s">
        <v>0</v>
      </c>
      <c r="B2" s="353"/>
      <c r="C2" s="353"/>
      <c r="D2" s="353"/>
      <c r="E2" s="353"/>
      <c r="F2" s="353"/>
    </row>
    <row r="3" spans="1:6" ht="45.75" customHeight="1">
      <c r="A3" s="344" t="s">
        <v>335</v>
      </c>
      <c r="B3" s="344"/>
      <c r="C3" s="344"/>
      <c r="D3" s="344"/>
      <c r="E3" s="344"/>
      <c r="F3" s="344"/>
    </row>
    <row r="4" spans="1:6">
      <c r="A4" s="358" t="s">
        <v>39</v>
      </c>
      <c r="B4" s="359"/>
      <c r="C4" s="359"/>
      <c r="D4" s="359"/>
      <c r="E4" s="359"/>
      <c r="F4" s="359"/>
    </row>
    <row r="5" spans="1:6" ht="4.5" customHeight="1" thickBot="1"/>
    <row r="6" spans="1:6" ht="27.6" thickTop="1" thickBot="1">
      <c r="A6" s="354" t="s">
        <v>1</v>
      </c>
      <c r="B6" s="356" t="s">
        <v>4</v>
      </c>
      <c r="C6" s="356" t="s">
        <v>10</v>
      </c>
      <c r="D6" s="273" t="s">
        <v>2</v>
      </c>
      <c r="E6" s="273" t="s">
        <v>5</v>
      </c>
      <c r="F6" s="132" t="s">
        <v>6</v>
      </c>
    </row>
    <row r="7" spans="1:6" ht="14.4" thickTop="1" thickBot="1">
      <c r="A7" s="355"/>
      <c r="B7" s="357"/>
      <c r="C7" s="357"/>
      <c r="D7" s="272" t="s">
        <v>7</v>
      </c>
      <c r="E7" s="272" t="s">
        <v>8</v>
      </c>
      <c r="F7" s="133" t="s">
        <v>9</v>
      </c>
    </row>
    <row r="8" spans="1:6" ht="9.9" customHeight="1" thickTop="1" thickBot="1">
      <c r="A8" s="271"/>
      <c r="B8" s="271"/>
      <c r="C8" s="271"/>
      <c r="D8" s="134"/>
      <c r="E8" s="134"/>
      <c r="F8" s="134"/>
    </row>
    <row r="9" spans="1:6" ht="20.100000000000001" customHeight="1" thickTop="1" thickBot="1">
      <c r="A9" s="159" t="s">
        <v>25</v>
      </c>
      <c r="B9" s="323" t="s">
        <v>12</v>
      </c>
      <c r="C9" s="348"/>
      <c r="D9" s="348"/>
      <c r="E9" s="348"/>
      <c r="F9" s="349"/>
    </row>
    <row r="10" spans="1:6" ht="12.75" customHeight="1" thickTop="1">
      <c r="A10" s="270"/>
      <c r="B10" s="219" t="s">
        <v>45</v>
      </c>
      <c r="C10" s="269"/>
      <c r="D10" s="269"/>
      <c r="E10" s="269"/>
      <c r="F10" s="135"/>
    </row>
    <row r="11" spans="1:6" ht="102" customHeight="1">
      <c r="A11" s="224"/>
      <c r="B11" s="243" t="s">
        <v>46</v>
      </c>
      <c r="C11" s="268"/>
      <c r="D11" s="268"/>
      <c r="E11" s="268"/>
      <c r="F11" s="136"/>
    </row>
    <row r="12" spans="1:6" ht="39.6">
      <c r="A12" s="172" t="s">
        <v>14</v>
      </c>
      <c r="B12" s="197" t="s">
        <v>232</v>
      </c>
      <c r="C12" s="170"/>
      <c r="D12" s="170"/>
      <c r="E12" s="187"/>
      <c r="F12" s="137"/>
    </row>
    <row r="13" spans="1:6" ht="39.6">
      <c r="A13" s="186"/>
      <c r="B13" s="225" t="s">
        <v>66</v>
      </c>
      <c r="C13" s="184"/>
      <c r="D13" s="184"/>
      <c r="E13" s="182"/>
      <c r="F13" s="138"/>
    </row>
    <row r="14" spans="1:6" ht="26.4">
      <c r="A14" s="181"/>
      <c r="B14" s="171" t="s">
        <v>278</v>
      </c>
      <c r="C14" s="179" t="s">
        <v>3</v>
      </c>
      <c r="D14" s="179">
        <v>1</v>
      </c>
      <c r="E14" s="168"/>
      <c r="F14" s="128">
        <f>D14*E14</f>
        <v>0</v>
      </c>
    </row>
    <row r="15" spans="1:6">
      <c r="A15" s="181"/>
      <c r="B15" s="267" t="s">
        <v>185</v>
      </c>
      <c r="C15" s="179" t="s">
        <v>3</v>
      </c>
      <c r="D15" s="179">
        <v>1</v>
      </c>
      <c r="E15" s="168"/>
      <c r="F15" s="128">
        <f>D15*E15</f>
        <v>0</v>
      </c>
    </row>
    <row r="16" spans="1:6" ht="66">
      <c r="A16" s="172" t="s">
        <v>15</v>
      </c>
      <c r="B16" s="197" t="s">
        <v>170</v>
      </c>
      <c r="C16" s="170"/>
      <c r="D16" s="170"/>
      <c r="E16" s="187"/>
      <c r="F16" s="137"/>
    </row>
    <row r="17" spans="1:6" ht="26.4">
      <c r="A17" s="186"/>
      <c r="B17" s="243" t="s">
        <v>67</v>
      </c>
      <c r="C17" s="184"/>
      <c r="D17" s="184"/>
      <c r="E17" s="182"/>
      <c r="F17" s="138"/>
    </row>
    <row r="18" spans="1:6">
      <c r="A18" s="181"/>
      <c r="B18" s="171" t="s">
        <v>277</v>
      </c>
      <c r="C18" s="179" t="s">
        <v>3</v>
      </c>
      <c r="D18" s="179">
        <v>1</v>
      </c>
      <c r="E18" s="168"/>
      <c r="F18" s="128">
        <f>D18*E18</f>
        <v>0</v>
      </c>
    </row>
    <row r="19" spans="1:6" ht="66">
      <c r="A19" s="172" t="s">
        <v>16</v>
      </c>
      <c r="B19" s="189" t="s">
        <v>103</v>
      </c>
      <c r="C19" s="170"/>
      <c r="D19" s="266"/>
      <c r="E19" s="187"/>
      <c r="F19" s="137"/>
    </row>
    <row r="20" spans="1:6" ht="26.4">
      <c r="A20" s="195"/>
      <c r="B20" s="228" t="s">
        <v>69</v>
      </c>
      <c r="C20" s="193"/>
      <c r="D20" s="265"/>
      <c r="E20" s="191"/>
      <c r="F20" s="130"/>
    </row>
    <row r="21" spans="1:6">
      <c r="A21" s="181"/>
      <c r="B21" s="261" t="s">
        <v>276</v>
      </c>
      <c r="C21" s="179" t="s">
        <v>70</v>
      </c>
      <c r="D21" s="178">
        <f>0.5*(0.5*0.5*2+0.35*1.75)</f>
        <v>0.55624999999999991</v>
      </c>
      <c r="E21" s="168"/>
      <c r="F21" s="128">
        <f>D21*E21</f>
        <v>0</v>
      </c>
    </row>
    <row r="22" spans="1:6" ht="26.4">
      <c r="A22" s="172" t="s">
        <v>17</v>
      </c>
      <c r="B22" s="197" t="s">
        <v>95</v>
      </c>
      <c r="C22" s="170"/>
      <c r="D22" s="170"/>
      <c r="E22" s="187"/>
      <c r="F22" s="137"/>
    </row>
    <row r="23" spans="1:6" ht="52.8">
      <c r="A23" s="186"/>
      <c r="B23" s="243" t="s">
        <v>96</v>
      </c>
      <c r="C23" s="184"/>
      <c r="D23" s="184"/>
      <c r="E23" s="182"/>
      <c r="F23" s="138"/>
    </row>
    <row r="24" spans="1:6" ht="26.4">
      <c r="A24" s="195"/>
      <c r="B24" s="194" t="s">
        <v>68</v>
      </c>
      <c r="C24" s="193" t="s">
        <v>13</v>
      </c>
      <c r="D24" s="249">
        <v>13.16</v>
      </c>
      <c r="E24" s="191"/>
      <c r="F24" s="130">
        <f>D24*E24</f>
        <v>0</v>
      </c>
    </row>
    <row r="25" spans="1:6" ht="9.9" customHeight="1">
      <c r="A25" s="139"/>
      <c r="B25" s="139"/>
      <c r="C25" s="139"/>
      <c r="D25" s="139"/>
      <c r="E25" s="139"/>
      <c r="F25" s="139"/>
    </row>
    <row r="26" spans="1:6" ht="20.100000000000001" customHeight="1" thickBot="1">
      <c r="A26" s="341" t="s">
        <v>11</v>
      </c>
      <c r="B26" s="342"/>
      <c r="C26" s="342"/>
      <c r="D26" s="342"/>
      <c r="E26" s="343"/>
      <c r="F26" s="140">
        <f>SUM(F12:F25)</f>
        <v>0</v>
      </c>
    </row>
    <row r="27" spans="1:6" ht="9.9" customHeight="1" thickTop="1" thickBot="1">
      <c r="A27" s="141"/>
      <c r="B27" s="141"/>
      <c r="C27" s="141"/>
      <c r="D27" s="141"/>
      <c r="E27" s="141"/>
      <c r="F27" s="141"/>
    </row>
    <row r="28" spans="1:6" ht="20.100000000000001" customHeight="1" thickTop="1" thickBot="1">
      <c r="A28" s="159" t="s">
        <v>29</v>
      </c>
      <c r="B28" s="323" t="s">
        <v>19</v>
      </c>
      <c r="C28" s="348"/>
      <c r="D28" s="348"/>
      <c r="E28" s="348"/>
      <c r="F28" s="349"/>
    </row>
    <row r="29" spans="1:6" ht="13.8" thickTop="1">
      <c r="A29" s="177" t="s">
        <v>20</v>
      </c>
      <c r="B29" s="131" t="s">
        <v>275</v>
      </c>
      <c r="C29" s="244"/>
      <c r="D29" s="244"/>
      <c r="E29" s="244"/>
      <c r="F29" s="138"/>
    </row>
    <row r="30" spans="1:6">
      <c r="A30" s="186"/>
      <c r="B30" s="131" t="s">
        <v>274</v>
      </c>
      <c r="C30" s="242"/>
      <c r="D30" s="242"/>
      <c r="E30" s="242"/>
      <c r="F30" s="138"/>
    </row>
    <row r="31" spans="1:6">
      <c r="A31" s="186"/>
      <c r="B31" s="131" t="s">
        <v>273</v>
      </c>
      <c r="C31" s="242"/>
      <c r="D31" s="242"/>
      <c r="E31" s="242"/>
      <c r="F31" s="138"/>
    </row>
    <row r="32" spans="1:6">
      <c r="A32" s="186"/>
      <c r="B32" s="131" t="s">
        <v>31</v>
      </c>
      <c r="C32" s="242"/>
      <c r="D32" s="242"/>
      <c r="E32" s="242"/>
      <c r="F32" s="138"/>
    </row>
    <row r="33" spans="1:6">
      <c r="A33" s="172"/>
      <c r="B33" s="197" t="s">
        <v>47</v>
      </c>
      <c r="C33" s="230"/>
      <c r="D33" s="230"/>
      <c r="E33" s="230"/>
      <c r="F33" s="137"/>
    </row>
    <row r="34" spans="1:6">
      <c r="A34" s="195"/>
      <c r="B34" s="254" t="s">
        <v>172</v>
      </c>
      <c r="C34" s="193" t="s">
        <v>13</v>
      </c>
      <c r="D34" s="253">
        <f>0.8*0.6</f>
        <v>0.48</v>
      </c>
      <c r="E34" s="191"/>
      <c r="F34" s="130">
        <f>D34*E34</f>
        <v>0</v>
      </c>
    </row>
    <row r="35" spans="1:6" ht="66">
      <c r="A35" s="172" t="s">
        <v>223</v>
      </c>
      <c r="B35" s="197" t="s">
        <v>128</v>
      </c>
      <c r="C35" s="170"/>
      <c r="D35" s="251"/>
      <c r="E35" s="187"/>
      <c r="F35" s="137"/>
    </row>
    <row r="36" spans="1:6" ht="39.6">
      <c r="A36" s="186"/>
      <c r="B36" s="243" t="s">
        <v>48</v>
      </c>
      <c r="C36" s="184"/>
      <c r="D36" s="250"/>
      <c r="E36" s="182"/>
      <c r="F36" s="138"/>
    </row>
    <row r="37" spans="1:6">
      <c r="A37" s="195"/>
      <c r="B37" s="194" t="s">
        <v>49</v>
      </c>
      <c r="C37" s="193"/>
      <c r="D37" s="249"/>
      <c r="E37" s="191"/>
      <c r="F37" s="130"/>
    </row>
    <row r="38" spans="1:6">
      <c r="A38" s="181"/>
      <c r="B38" s="254" t="s">
        <v>172</v>
      </c>
      <c r="C38" s="193" t="s">
        <v>13</v>
      </c>
      <c r="D38" s="253">
        <f>0.8*0.6</f>
        <v>0.48</v>
      </c>
      <c r="E38" s="168"/>
      <c r="F38" s="130">
        <f>D38*E38</f>
        <v>0</v>
      </c>
    </row>
    <row r="39" spans="1:6" ht="39.6">
      <c r="A39" s="172" t="s">
        <v>222</v>
      </c>
      <c r="B39" s="189" t="s">
        <v>71</v>
      </c>
      <c r="C39" s="170"/>
      <c r="D39" s="196"/>
      <c r="E39" s="187"/>
      <c r="F39" s="137"/>
    </row>
    <row r="40" spans="1:6">
      <c r="A40" s="186"/>
      <c r="B40" s="243" t="s">
        <v>72</v>
      </c>
      <c r="C40" s="184"/>
      <c r="D40" s="190"/>
      <c r="E40" s="182"/>
      <c r="F40" s="138"/>
    </row>
    <row r="41" spans="1:6">
      <c r="A41" s="181"/>
      <c r="B41" s="206" t="s">
        <v>267</v>
      </c>
      <c r="C41" s="179" t="s">
        <v>26</v>
      </c>
      <c r="D41" s="178">
        <f>(1.31+2.1*2)*5</f>
        <v>27.549999999999997</v>
      </c>
      <c r="E41" s="168"/>
      <c r="F41" s="128">
        <f>D41*E41</f>
        <v>0</v>
      </c>
    </row>
    <row r="42" spans="1:6" ht="52.8">
      <c r="A42" s="172" t="s">
        <v>272</v>
      </c>
      <c r="B42" s="189" t="s">
        <v>99</v>
      </c>
      <c r="C42" s="170"/>
      <c r="D42" s="196"/>
      <c r="E42" s="187"/>
      <c r="F42" s="137"/>
    </row>
    <row r="43" spans="1:6">
      <c r="A43" s="186"/>
      <c r="B43" s="185" t="s">
        <v>97</v>
      </c>
      <c r="C43" s="184"/>
      <c r="D43" s="190"/>
      <c r="E43" s="182"/>
      <c r="F43" s="138"/>
    </row>
    <row r="44" spans="1:6">
      <c r="A44" s="186"/>
      <c r="B44" s="252" t="s">
        <v>98</v>
      </c>
      <c r="C44" s="184"/>
      <c r="D44" s="190"/>
      <c r="E44" s="182"/>
      <c r="F44" s="138"/>
    </row>
    <row r="45" spans="1:6" ht="39.6">
      <c r="A45" s="186"/>
      <c r="B45" s="185" t="s">
        <v>91</v>
      </c>
      <c r="C45" s="184"/>
      <c r="D45" s="190"/>
      <c r="E45" s="182"/>
      <c r="F45" s="138"/>
    </row>
    <row r="46" spans="1:6">
      <c r="A46" s="181"/>
      <c r="B46" s="206" t="s">
        <v>31</v>
      </c>
      <c r="C46" s="179" t="s">
        <v>13</v>
      </c>
      <c r="D46" s="178">
        <v>13.16</v>
      </c>
      <c r="E46" s="168"/>
      <c r="F46" s="128">
        <f>D46*E46</f>
        <v>0</v>
      </c>
    </row>
    <row r="47" spans="1:6" ht="9.9" customHeight="1">
      <c r="A47" s="139"/>
      <c r="B47" s="139"/>
      <c r="C47" s="139"/>
      <c r="D47" s="139"/>
      <c r="E47" s="139"/>
      <c r="F47" s="139"/>
    </row>
    <row r="48" spans="1:6" ht="20.100000000000001" customHeight="1" thickBot="1">
      <c r="A48" s="341" t="s">
        <v>21</v>
      </c>
      <c r="B48" s="342"/>
      <c r="C48" s="342"/>
      <c r="D48" s="342"/>
      <c r="E48" s="343"/>
      <c r="F48" s="140">
        <f>SUM(F34:F46)</f>
        <v>0</v>
      </c>
    </row>
    <row r="49" spans="1:6" ht="9.9" customHeight="1" thickTop="1" thickBot="1">
      <c r="A49" s="141"/>
      <c r="B49" s="141"/>
      <c r="C49" s="141"/>
      <c r="D49" s="141"/>
      <c r="E49" s="141"/>
      <c r="F49" s="141"/>
    </row>
    <row r="50" spans="1:6" ht="20.100000000000001" customHeight="1" thickTop="1" thickBot="1">
      <c r="A50" s="159" t="s">
        <v>28</v>
      </c>
      <c r="B50" s="323" t="s">
        <v>73</v>
      </c>
      <c r="C50" s="348"/>
      <c r="D50" s="348"/>
      <c r="E50" s="348"/>
      <c r="F50" s="349"/>
    </row>
    <row r="51" spans="1:6" ht="79.8" thickTop="1">
      <c r="A51" s="172" t="s">
        <v>27</v>
      </c>
      <c r="B51" s="197" t="s">
        <v>124</v>
      </c>
      <c r="C51" s="170"/>
      <c r="D51" s="251"/>
      <c r="E51" s="187"/>
      <c r="F51" s="137"/>
    </row>
    <row r="52" spans="1:6" ht="79.2">
      <c r="A52" s="186"/>
      <c r="B52" s="243" t="s">
        <v>123</v>
      </c>
      <c r="C52" s="184"/>
      <c r="D52" s="250"/>
      <c r="E52" s="182"/>
      <c r="F52" s="138"/>
    </row>
    <row r="53" spans="1:6" ht="92.4">
      <c r="A53" s="186"/>
      <c r="B53" s="243" t="s">
        <v>125</v>
      </c>
      <c r="C53" s="184"/>
      <c r="D53" s="250"/>
      <c r="E53" s="182"/>
      <c r="F53" s="138"/>
    </row>
    <row r="54" spans="1:6">
      <c r="A54" s="195"/>
      <c r="B54" s="194" t="s">
        <v>34</v>
      </c>
      <c r="C54" s="193"/>
      <c r="D54" s="249"/>
      <c r="E54" s="191"/>
      <c r="F54" s="130"/>
    </row>
    <row r="55" spans="1:6" ht="26.4">
      <c r="A55" s="248"/>
      <c r="B55" s="194" t="s">
        <v>126</v>
      </c>
      <c r="C55" s="179" t="s">
        <v>3</v>
      </c>
      <c r="D55" s="247">
        <v>1</v>
      </c>
      <c r="E55" s="191"/>
      <c r="F55" s="130">
        <f>D55*E55</f>
        <v>0</v>
      </c>
    </row>
    <row r="56" spans="1:6" ht="158.4">
      <c r="A56" s="172" t="s">
        <v>221</v>
      </c>
      <c r="B56" s="197" t="s">
        <v>180</v>
      </c>
      <c r="C56" s="170"/>
      <c r="D56" s="246"/>
      <c r="E56" s="187"/>
      <c r="F56" s="137"/>
    </row>
    <row r="57" spans="1:6" ht="66">
      <c r="A57" s="186"/>
      <c r="B57" s="243" t="s">
        <v>179</v>
      </c>
      <c r="C57" s="184"/>
      <c r="D57" s="245"/>
      <c r="E57" s="182"/>
      <c r="F57" s="138"/>
    </row>
    <row r="58" spans="1:6" ht="79.2">
      <c r="A58" s="186"/>
      <c r="B58" s="243" t="s">
        <v>123</v>
      </c>
      <c r="C58" s="184"/>
      <c r="D58" s="245"/>
      <c r="E58" s="182"/>
      <c r="F58" s="138"/>
    </row>
    <row r="59" spans="1:6" ht="92.4">
      <c r="A59" s="186"/>
      <c r="B59" s="243" t="s">
        <v>125</v>
      </c>
      <c r="C59" s="184"/>
      <c r="D59" s="245"/>
      <c r="E59" s="182"/>
      <c r="F59" s="138"/>
    </row>
    <row r="60" spans="1:6">
      <c r="A60" s="186"/>
      <c r="B60" s="243" t="s">
        <v>34</v>
      </c>
      <c r="C60" s="184"/>
      <c r="D60" s="245"/>
      <c r="E60" s="182"/>
      <c r="F60" s="138"/>
    </row>
    <row r="61" spans="1:6" ht="26.4">
      <c r="A61" s="181"/>
      <c r="B61" s="171" t="s">
        <v>271</v>
      </c>
      <c r="C61" s="179" t="s">
        <v>3</v>
      </c>
      <c r="D61" s="275">
        <v>1</v>
      </c>
      <c r="E61" s="168"/>
      <c r="F61" s="128">
        <f>D61*E61</f>
        <v>0</v>
      </c>
    </row>
    <row r="62" spans="1:6" ht="9.9" customHeight="1">
      <c r="A62" s="139"/>
      <c r="B62" s="139"/>
      <c r="C62" s="139"/>
      <c r="D62" s="139"/>
      <c r="E62" s="139"/>
      <c r="F62" s="139"/>
    </row>
    <row r="63" spans="1:6" ht="20.100000000000001" customHeight="1" thickBot="1">
      <c r="A63" s="341" t="s">
        <v>74</v>
      </c>
      <c r="B63" s="342"/>
      <c r="C63" s="342"/>
      <c r="D63" s="342"/>
      <c r="E63" s="343"/>
      <c r="F63" s="140">
        <f>SUM(F51:F61)</f>
        <v>0</v>
      </c>
    </row>
    <row r="64" spans="1:6" ht="9.9" customHeight="1" thickTop="1" thickBot="1">
      <c r="A64" s="141"/>
      <c r="B64" s="141"/>
      <c r="C64" s="141"/>
      <c r="D64" s="141"/>
      <c r="E64" s="141"/>
      <c r="F64" s="141"/>
    </row>
    <row r="65" spans="1:6" ht="19.5" customHeight="1" thickTop="1" thickBot="1">
      <c r="A65" s="159" t="s">
        <v>30</v>
      </c>
      <c r="B65" s="323" t="s">
        <v>132</v>
      </c>
      <c r="C65" s="324"/>
      <c r="D65" s="324"/>
      <c r="E65" s="324"/>
      <c r="F65" s="345"/>
    </row>
    <row r="66" spans="1:6" ht="66.599999999999994" thickTop="1">
      <c r="A66" s="186" t="s">
        <v>43</v>
      </c>
      <c r="B66" s="236" t="s">
        <v>136</v>
      </c>
      <c r="C66" s="235"/>
      <c r="D66" s="234"/>
      <c r="E66" s="234"/>
      <c r="F66" s="146"/>
    </row>
    <row r="67" spans="1:6" ht="171.6">
      <c r="A67" s="224"/>
      <c r="B67" s="236" t="s">
        <v>137</v>
      </c>
      <c r="C67" s="235"/>
      <c r="D67" s="234"/>
      <c r="E67" s="234"/>
      <c r="F67" s="146"/>
    </row>
    <row r="68" spans="1:6" ht="26.4">
      <c r="A68" s="224"/>
      <c r="B68" s="236" t="s">
        <v>138</v>
      </c>
      <c r="C68" s="235"/>
      <c r="D68" s="234"/>
      <c r="E68" s="234"/>
      <c r="F68" s="146"/>
    </row>
    <row r="69" spans="1:6" ht="26.4">
      <c r="A69" s="224"/>
      <c r="B69" s="236" t="s">
        <v>134</v>
      </c>
      <c r="C69" s="235"/>
      <c r="D69" s="234"/>
      <c r="E69" s="234"/>
      <c r="F69" s="146"/>
    </row>
    <row r="70" spans="1:6" ht="118.8">
      <c r="A70" s="224"/>
      <c r="B70" s="236" t="s">
        <v>139</v>
      </c>
      <c r="C70" s="235"/>
      <c r="D70" s="234"/>
      <c r="E70" s="234"/>
      <c r="F70" s="146"/>
    </row>
    <row r="71" spans="1:6" ht="105.6">
      <c r="A71" s="224"/>
      <c r="B71" s="236" t="s">
        <v>140</v>
      </c>
      <c r="C71" s="235"/>
      <c r="D71" s="234"/>
      <c r="E71" s="234"/>
      <c r="F71" s="147"/>
    </row>
    <row r="72" spans="1:6" ht="52.8">
      <c r="A72" s="224"/>
      <c r="B72" s="223" t="s">
        <v>141</v>
      </c>
      <c r="C72" s="233"/>
      <c r="D72" s="232"/>
      <c r="E72" s="223"/>
      <c r="F72" s="148"/>
    </row>
    <row r="73" spans="1:6" ht="12.75" customHeight="1">
      <c r="A73" s="181"/>
      <c r="B73" s="206" t="s">
        <v>142</v>
      </c>
      <c r="C73" s="179" t="s">
        <v>135</v>
      </c>
      <c r="D73" s="178">
        <f>3.7*4.85</f>
        <v>17.945</v>
      </c>
      <c r="E73" s="168"/>
      <c r="F73" s="128">
        <f>D73*E73</f>
        <v>0</v>
      </c>
    </row>
    <row r="74" spans="1:6" ht="12.75" customHeight="1">
      <c r="A74" s="231"/>
      <c r="B74" s="230" t="s">
        <v>143</v>
      </c>
      <c r="C74" s="229"/>
      <c r="D74" s="229"/>
      <c r="E74" s="229"/>
      <c r="F74" s="129"/>
    </row>
    <row r="75" spans="1:6" ht="12.75" customHeight="1">
      <c r="A75" s="195"/>
      <c r="B75" s="228" t="s">
        <v>270</v>
      </c>
      <c r="C75" s="193" t="s">
        <v>135</v>
      </c>
      <c r="D75" s="192">
        <f>0.32*(3.7*2+4.85*2)</f>
        <v>5.4720000000000004</v>
      </c>
      <c r="E75" s="191"/>
      <c r="F75" s="130">
        <f>D75*E75</f>
        <v>0</v>
      </c>
    </row>
    <row r="76" spans="1:6" ht="10.5" customHeight="1">
      <c r="A76" s="217"/>
      <c r="B76" s="218"/>
      <c r="C76" s="218"/>
      <c r="D76" s="218"/>
      <c r="E76" s="218"/>
      <c r="F76" s="150"/>
    </row>
    <row r="77" spans="1:6" ht="18.75" customHeight="1" thickBot="1">
      <c r="A77" s="341" t="s">
        <v>133</v>
      </c>
      <c r="B77" s="342"/>
      <c r="C77" s="342"/>
      <c r="D77" s="342"/>
      <c r="E77" s="343"/>
      <c r="F77" s="140">
        <f>SUM(F66:F75)</f>
        <v>0</v>
      </c>
    </row>
    <row r="78" spans="1:6" ht="10.5" customHeight="1" thickTop="1" thickBot="1">
      <c r="A78" s="141"/>
      <c r="B78" s="141"/>
      <c r="C78" s="141"/>
      <c r="D78" s="141"/>
      <c r="E78" s="141"/>
      <c r="F78" s="141"/>
    </row>
    <row r="79" spans="1:6" ht="18" customHeight="1" thickTop="1" thickBot="1">
      <c r="A79" s="159" t="s">
        <v>35</v>
      </c>
      <c r="B79" s="323" t="s">
        <v>57</v>
      </c>
      <c r="C79" s="324"/>
      <c r="D79" s="324"/>
      <c r="E79" s="324"/>
      <c r="F79" s="345"/>
    </row>
    <row r="80" spans="1:6" ht="53.4" thickTop="1">
      <c r="A80" s="177" t="s">
        <v>32</v>
      </c>
      <c r="B80" s="220" t="s">
        <v>84</v>
      </c>
      <c r="C80" s="219"/>
      <c r="D80" s="219"/>
      <c r="E80" s="219"/>
      <c r="F80" s="151"/>
    </row>
    <row r="81" spans="1:6" ht="12.75" customHeight="1">
      <c r="A81" s="217"/>
      <c r="B81" s="218" t="s">
        <v>58</v>
      </c>
      <c r="C81" s="218"/>
      <c r="D81" s="218"/>
      <c r="E81" s="218"/>
      <c r="F81" s="150"/>
    </row>
    <row r="82" spans="1:6" ht="12.75" customHeight="1">
      <c r="A82" s="214"/>
      <c r="B82" s="213" t="s">
        <v>59</v>
      </c>
      <c r="C82" s="213"/>
      <c r="D82" s="213"/>
      <c r="E82" s="213"/>
      <c r="F82" s="152"/>
    </row>
    <row r="83" spans="1:6" ht="12.75" customHeight="1">
      <c r="A83" s="217"/>
      <c r="B83" s="216" t="s">
        <v>269</v>
      </c>
      <c r="C83" s="193" t="s">
        <v>13</v>
      </c>
      <c r="D83" s="274">
        <f>2.15*14.62+6.68*19.6</f>
        <v>162.36099999999999</v>
      </c>
      <c r="E83" s="210"/>
      <c r="F83" s="130">
        <f>D83*E83</f>
        <v>0</v>
      </c>
    </row>
    <row r="84" spans="1:6" ht="12.75" customHeight="1">
      <c r="A84" s="214"/>
      <c r="B84" s="213" t="s">
        <v>60</v>
      </c>
      <c r="C84" s="170"/>
      <c r="D84" s="170"/>
      <c r="E84" s="208"/>
      <c r="F84" s="137"/>
    </row>
    <row r="85" spans="1:6" ht="12.75" customHeight="1">
      <c r="A85" s="217"/>
      <c r="B85" s="216" t="s">
        <v>268</v>
      </c>
      <c r="C85" s="193" t="s">
        <v>13</v>
      </c>
      <c r="D85" s="215">
        <f>13.45+2.79</f>
        <v>16.239999999999998</v>
      </c>
      <c r="E85" s="210"/>
      <c r="F85" s="130">
        <f>D85*E85</f>
        <v>0</v>
      </c>
    </row>
    <row r="86" spans="1:6" ht="12.75" customHeight="1">
      <c r="A86" s="172" t="s">
        <v>160</v>
      </c>
      <c r="B86" s="209" t="s">
        <v>78</v>
      </c>
      <c r="C86" s="170"/>
      <c r="D86" s="170"/>
      <c r="E86" s="208"/>
      <c r="F86" s="137"/>
    </row>
    <row r="87" spans="1:6" ht="26.4">
      <c r="A87" s="207"/>
      <c r="B87" s="204" t="s">
        <v>79</v>
      </c>
      <c r="C87" s="184"/>
      <c r="D87" s="184"/>
      <c r="E87" s="201"/>
      <c r="F87" s="138"/>
    </row>
    <row r="88" spans="1:6">
      <c r="A88" s="207"/>
      <c r="B88" s="202" t="s">
        <v>80</v>
      </c>
      <c r="C88" s="184"/>
      <c r="D88" s="184"/>
      <c r="E88" s="201"/>
      <c r="F88" s="138"/>
    </row>
    <row r="89" spans="1:6" ht="12.75" customHeight="1">
      <c r="A89" s="200"/>
      <c r="B89" s="206" t="s">
        <v>267</v>
      </c>
      <c r="C89" s="179" t="s">
        <v>26</v>
      </c>
      <c r="D89" s="178">
        <f>(1.31+2.1*2)*5</f>
        <v>27.549999999999997</v>
      </c>
      <c r="E89" s="205"/>
      <c r="F89" s="128">
        <f>D89*E89</f>
        <v>0</v>
      </c>
    </row>
    <row r="90" spans="1:6" ht="66">
      <c r="A90" s="186" t="s">
        <v>266</v>
      </c>
      <c r="B90" s="204" t="s">
        <v>81</v>
      </c>
      <c r="C90" s="202"/>
      <c r="D90" s="202"/>
      <c r="E90" s="201"/>
      <c r="F90" s="153"/>
    </row>
    <row r="91" spans="1:6">
      <c r="A91" s="203"/>
      <c r="B91" s="202" t="s">
        <v>58</v>
      </c>
      <c r="C91" s="202"/>
      <c r="D91" s="202"/>
      <c r="E91" s="201"/>
      <c r="F91" s="153"/>
    </row>
    <row r="92" spans="1:6" ht="12.75" customHeight="1">
      <c r="A92" s="200"/>
      <c r="B92" s="180" t="s">
        <v>265</v>
      </c>
      <c r="C92" s="179" t="s">
        <v>13</v>
      </c>
      <c r="D92" s="199">
        <f>2.85*3.6*5</f>
        <v>51.3</v>
      </c>
      <c r="E92" s="198"/>
      <c r="F92" s="128">
        <f>D92*E92</f>
        <v>0</v>
      </c>
    </row>
    <row r="93" spans="1:6" ht="237.6">
      <c r="A93" s="186" t="s">
        <v>264</v>
      </c>
      <c r="B93" s="204" t="s">
        <v>210</v>
      </c>
      <c r="C93" s="202"/>
      <c r="D93" s="202"/>
      <c r="E93" s="201"/>
      <c r="F93" s="153"/>
    </row>
    <row r="94" spans="1:6">
      <c r="A94" s="203"/>
      <c r="B94" s="202" t="s">
        <v>58</v>
      </c>
      <c r="C94" s="202"/>
      <c r="D94" s="202"/>
      <c r="E94" s="201"/>
      <c r="F94" s="153"/>
    </row>
    <row r="95" spans="1:6" ht="12.75" customHeight="1">
      <c r="A95" s="200"/>
      <c r="B95" s="180" t="s">
        <v>263</v>
      </c>
      <c r="C95" s="179" t="s">
        <v>13</v>
      </c>
      <c r="D95" s="298">
        <f>0.4*2*4.1</f>
        <v>3.28</v>
      </c>
      <c r="E95" s="205"/>
      <c r="F95" s="128">
        <f>D95*E95</f>
        <v>0</v>
      </c>
    </row>
    <row r="96" spans="1:6" ht="9" customHeight="1">
      <c r="A96" s="145"/>
      <c r="B96" s="145"/>
      <c r="C96" s="145"/>
      <c r="D96" s="145"/>
      <c r="E96" s="145"/>
      <c r="F96" s="145"/>
    </row>
    <row r="97" spans="1:6" ht="19.5" customHeight="1" thickBot="1">
      <c r="A97" s="341" t="s">
        <v>37</v>
      </c>
      <c r="B97" s="342"/>
      <c r="C97" s="342"/>
      <c r="D97" s="342"/>
      <c r="E97" s="343"/>
      <c r="F97" s="140">
        <f>SUM(F81:F96)</f>
        <v>0</v>
      </c>
    </row>
    <row r="98" spans="1:6" ht="9.9" customHeight="1" thickTop="1" thickBot="1">
      <c r="A98" s="141"/>
      <c r="B98" s="141"/>
      <c r="C98" s="141"/>
      <c r="D98" s="141"/>
      <c r="E98" s="141"/>
      <c r="F98" s="141"/>
    </row>
    <row r="99" spans="1:6" ht="20.100000000000001" customHeight="1" thickTop="1" thickBot="1">
      <c r="A99" s="159" t="s">
        <v>36</v>
      </c>
      <c r="B99" s="323" t="s">
        <v>42</v>
      </c>
      <c r="C99" s="324"/>
      <c r="D99" s="324"/>
      <c r="E99" s="324"/>
      <c r="F99" s="345"/>
    </row>
    <row r="100" spans="1:6" ht="93" thickTop="1">
      <c r="A100" s="172" t="s">
        <v>33</v>
      </c>
      <c r="B100" s="197" t="s">
        <v>54</v>
      </c>
      <c r="C100" s="170"/>
      <c r="D100" s="196"/>
      <c r="E100" s="187"/>
      <c r="F100" s="137"/>
    </row>
    <row r="101" spans="1:6" ht="38.25" customHeight="1">
      <c r="A101" s="195"/>
      <c r="B101" s="194" t="s">
        <v>53</v>
      </c>
      <c r="C101" s="193"/>
      <c r="D101" s="192"/>
      <c r="E101" s="191"/>
      <c r="F101" s="130"/>
    </row>
    <row r="102" spans="1:6">
      <c r="A102" s="186"/>
      <c r="B102" s="185" t="s">
        <v>172</v>
      </c>
      <c r="C102" s="170" t="s">
        <v>13</v>
      </c>
      <c r="D102" s="190">
        <f>0.8*0.6</f>
        <v>0.48</v>
      </c>
      <c r="E102" s="182"/>
      <c r="F102" s="138">
        <f>D102*E102</f>
        <v>0</v>
      </c>
    </row>
    <row r="103" spans="1:6" ht="51" customHeight="1">
      <c r="A103" s="172" t="s">
        <v>214</v>
      </c>
      <c r="B103" s="189" t="s">
        <v>82</v>
      </c>
      <c r="C103" s="170"/>
      <c r="D103" s="188"/>
      <c r="E103" s="187"/>
      <c r="F103" s="137"/>
    </row>
    <row r="104" spans="1:6">
      <c r="A104" s="186"/>
      <c r="B104" s="185" t="s">
        <v>61</v>
      </c>
      <c r="C104" s="184"/>
      <c r="D104" s="183"/>
      <c r="E104" s="182"/>
      <c r="F104" s="138"/>
    </row>
    <row r="105" spans="1:6">
      <c r="A105" s="181"/>
      <c r="B105" s="206" t="s">
        <v>262</v>
      </c>
      <c r="C105" s="179" t="s">
        <v>13</v>
      </c>
      <c r="D105" s="178">
        <f>2.1*(3.7*2+4.85*2)</f>
        <v>35.910000000000004</v>
      </c>
      <c r="E105" s="168"/>
      <c r="F105" s="128">
        <f>D105*E105</f>
        <v>0</v>
      </c>
    </row>
    <row r="106" spans="1:6" ht="9.9" customHeight="1">
      <c r="A106" s="139"/>
      <c r="B106" s="139"/>
      <c r="C106" s="139"/>
      <c r="D106" s="139"/>
      <c r="E106" s="139"/>
      <c r="F106" s="139"/>
    </row>
    <row r="107" spans="1:6" ht="20.100000000000001" customHeight="1" thickBot="1">
      <c r="A107" s="341" t="s">
        <v>65</v>
      </c>
      <c r="B107" s="342"/>
      <c r="C107" s="342"/>
      <c r="D107" s="342"/>
      <c r="E107" s="343"/>
      <c r="F107" s="140">
        <f>SUM(F100:F105)</f>
        <v>0</v>
      </c>
    </row>
    <row r="108" spans="1:6" ht="9.9" customHeight="1" thickTop="1" thickBot="1">
      <c r="A108" s="141"/>
      <c r="B108" s="141"/>
      <c r="C108" s="141"/>
      <c r="D108" s="141"/>
      <c r="E108" s="141"/>
      <c r="F108" s="141"/>
    </row>
    <row r="109" spans="1:6" ht="18" customHeight="1" thickTop="1" thickBot="1">
      <c r="A109" s="159" t="s">
        <v>62</v>
      </c>
      <c r="B109" s="323" t="s">
        <v>22</v>
      </c>
      <c r="C109" s="348"/>
      <c r="D109" s="348"/>
      <c r="E109" s="348"/>
      <c r="F109" s="349"/>
    </row>
    <row r="110" spans="1:6" ht="27" thickTop="1">
      <c r="A110" s="177" t="s">
        <v>63</v>
      </c>
      <c r="B110" s="176" t="s">
        <v>83</v>
      </c>
      <c r="C110" s="175"/>
      <c r="D110" s="174"/>
      <c r="E110" s="173"/>
      <c r="F110" s="154"/>
    </row>
    <row r="111" spans="1:6">
      <c r="A111" s="172"/>
      <c r="B111" s="171" t="s">
        <v>31</v>
      </c>
      <c r="C111" s="170" t="s">
        <v>13</v>
      </c>
      <c r="D111" s="169">
        <f>22.75+2.5*1.8*4</f>
        <v>40.75</v>
      </c>
      <c r="E111" s="168"/>
      <c r="F111" s="128">
        <f>D111*E111</f>
        <v>0</v>
      </c>
    </row>
    <row r="112" spans="1:6" ht="9.9" customHeight="1">
      <c r="A112" s="139"/>
      <c r="B112" s="139"/>
      <c r="C112" s="139"/>
      <c r="D112" s="139"/>
      <c r="E112" s="139"/>
      <c r="F112" s="139"/>
    </row>
    <row r="113" spans="1:6" ht="20.100000000000001" customHeight="1" thickBot="1">
      <c r="A113" s="341" t="s">
        <v>38</v>
      </c>
      <c r="B113" s="342"/>
      <c r="C113" s="342"/>
      <c r="D113" s="342"/>
      <c r="E113" s="343"/>
      <c r="F113" s="140">
        <f>SUM(F111:F112)</f>
        <v>0</v>
      </c>
    </row>
    <row r="114" spans="1:6" ht="9.9" customHeight="1" thickTop="1"/>
    <row r="116" spans="1:6" ht="39.75" customHeight="1">
      <c r="A116" s="344" t="s">
        <v>334</v>
      </c>
      <c r="B116" s="344"/>
      <c r="C116" s="344"/>
      <c r="D116" s="344"/>
      <c r="E116" s="344"/>
      <c r="F116" s="344"/>
    </row>
    <row r="117" spans="1:6" ht="13.8" thickBot="1"/>
    <row r="118" spans="1:6" ht="16.8" thickTop="1" thickBot="1">
      <c r="A118" s="350" t="s">
        <v>40</v>
      </c>
      <c r="B118" s="351"/>
      <c r="C118" s="351"/>
      <c r="D118" s="351"/>
      <c r="E118" s="351"/>
      <c r="F118" s="352"/>
    </row>
    <row r="119" spans="1:6" ht="14.4" thickTop="1" thickBot="1"/>
    <row r="120" spans="1:6" ht="20.25" customHeight="1" thickTop="1" thickBot="1">
      <c r="A120" s="159" t="s">
        <v>23</v>
      </c>
      <c r="B120" s="160" t="s">
        <v>24</v>
      </c>
      <c r="C120" s="161"/>
      <c r="D120" s="161"/>
      <c r="E120" s="161"/>
      <c r="F120" s="156"/>
    </row>
    <row r="121" spans="1:6" ht="20.100000000000001" customHeight="1" thickTop="1" thickBot="1">
      <c r="A121" s="159" t="str">
        <f>A9</f>
        <v>01.01.00.</v>
      </c>
      <c r="B121" s="323" t="str">
        <f>B9</f>
        <v>ДЕМОНТАЖНИ РАДОВИ</v>
      </c>
      <c r="C121" s="324"/>
      <c r="D121" s="324"/>
      <c r="E121" s="325"/>
      <c r="F121" s="157">
        <f>F26</f>
        <v>0</v>
      </c>
    </row>
    <row r="122" spans="1:6" ht="20.100000000000001" customHeight="1" thickTop="1" thickBot="1">
      <c r="A122" s="159" t="str">
        <f>A28</f>
        <v>01.02.00.</v>
      </c>
      <c r="B122" s="163" t="str">
        <f>B28</f>
        <v>ЗИДАРСКИ РАДОВИ</v>
      </c>
      <c r="C122" s="164"/>
      <c r="D122" s="164"/>
      <c r="E122" s="165"/>
      <c r="F122" s="157">
        <f>F48</f>
        <v>0</v>
      </c>
    </row>
    <row r="123" spans="1:6" ht="20.100000000000001" customHeight="1" thickTop="1" thickBot="1">
      <c r="A123" s="159" t="str">
        <f>A50</f>
        <v>01.03.00.</v>
      </c>
      <c r="B123" s="323" t="str">
        <f>B50</f>
        <v>БРАВАРСКИ РАДОВИ</v>
      </c>
      <c r="C123" s="324"/>
      <c r="D123" s="324"/>
      <c r="E123" s="325"/>
      <c r="F123" s="157">
        <f>F63</f>
        <v>0</v>
      </c>
    </row>
    <row r="124" spans="1:6" ht="20.100000000000001" customHeight="1" thickTop="1" thickBot="1">
      <c r="A124" s="159" t="str">
        <f>A65</f>
        <v>01.04.00.</v>
      </c>
      <c r="B124" s="163" t="str">
        <f>B65</f>
        <v>ЛИМАРСКИ РАДОВИ</v>
      </c>
      <c r="C124" s="164"/>
      <c r="D124" s="164"/>
      <c r="E124" s="165"/>
      <c r="F124" s="157">
        <f>F77</f>
        <v>0</v>
      </c>
    </row>
    <row r="125" spans="1:6" ht="20.100000000000001" customHeight="1" thickTop="1" thickBot="1">
      <c r="A125" s="159" t="str">
        <f>A79</f>
        <v>01.05.00.</v>
      </c>
      <c r="B125" s="163" t="str">
        <f>B79</f>
        <v>МОЛЕРСКО ФАРБАРСКИ РАДОВИ</v>
      </c>
      <c r="C125" s="164"/>
      <c r="D125" s="164"/>
      <c r="E125" s="165"/>
      <c r="F125" s="157">
        <f>F97</f>
        <v>0</v>
      </c>
    </row>
    <row r="126" spans="1:6" ht="20.100000000000001" customHeight="1" thickTop="1" thickBot="1">
      <c r="A126" s="159" t="str">
        <f>A99</f>
        <v>01.06.00.</v>
      </c>
      <c r="B126" s="323" t="str">
        <f>B99</f>
        <v>ФАСАДЕРСКИ РАДОВИ</v>
      </c>
      <c r="C126" s="324"/>
      <c r="D126" s="324"/>
      <c r="E126" s="325"/>
      <c r="F126" s="157">
        <f>F107</f>
        <v>0</v>
      </c>
    </row>
    <row r="127" spans="1:6" ht="20.100000000000001" customHeight="1" thickTop="1" thickBot="1">
      <c r="A127" s="166" t="str">
        <f>A109</f>
        <v>01.07.00.</v>
      </c>
      <c r="B127" s="163" t="str">
        <f>B109</f>
        <v>РАЗНИ РАДОВИ</v>
      </c>
      <c r="C127" s="164"/>
      <c r="D127" s="164"/>
      <c r="E127" s="165"/>
      <c r="F127" s="158">
        <f>F113</f>
        <v>0</v>
      </c>
    </row>
    <row r="128" spans="1:6" ht="20.100000000000001" customHeight="1" thickTop="1" thickBot="1">
      <c r="A128" s="166"/>
      <c r="B128" s="164"/>
      <c r="C128" s="164"/>
      <c r="D128" s="346" t="s">
        <v>41</v>
      </c>
      <c r="E128" s="347"/>
      <c r="F128" s="158">
        <f>SUM(F121:F127)</f>
        <v>0</v>
      </c>
    </row>
    <row r="129" ht="13.8" thickTop="1"/>
  </sheetData>
  <sheetProtection algorithmName="SHA-512" hashValue="AtOa5PiSEgM8Iz4S15RY1auje1mVpH2BqskKX4b6nOB+00e0H9D4JtCV4QfEETRlBF51IBN9ztNBHrjeTGZYMg==" saltValue="wdLTm4+njcPe24XeHpv1kQ==" spinCount="100000" sheet="1" formatCells="0" formatColumns="0" formatRows="0" insertColumns="0" insertRows="0" insertHyperlinks="0" deleteColumns="0" deleteRows="0" sort="0" autoFilter="0" pivotTables="0"/>
  <protectedRanges>
    <protectedRange sqref="E1:E1048576" name="Range1"/>
  </protectedRanges>
  <mergeCells count="26">
    <mergeCell ref="D128:E128"/>
    <mergeCell ref="A118:F118"/>
    <mergeCell ref="A2:F2"/>
    <mergeCell ref="B9:F9"/>
    <mergeCell ref="A6:A7"/>
    <mergeCell ref="B6:B7"/>
    <mergeCell ref="C6:C7"/>
    <mergeCell ref="B126:E126"/>
    <mergeCell ref="B28:F28"/>
    <mergeCell ref="A113:E113"/>
    <mergeCell ref="B123:E123"/>
    <mergeCell ref="B121:E121"/>
    <mergeCell ref="B99:F99"/>
    <mergeCell ref="B50:F50"/>
    <mergeCell ref="A63:E63"/>
    <mergeCell ref="A3:F3"/>
    <mergeCell ref="A4:F4"/>
    <mergeCell ref="A26:E26"/>
    <mergeCell ref="A48:E48"/>
    <mergeCell ref="A116:F116"/>
    <mergeCell ref="B65:F65"/>
    <mergeCell ref="A97:E97"/>
    <mergeCell ref="B109:F109"/>
    <mergeCell ref="A77:E77"/>
    <mergeCell ref="B79:F79"/>
    <mergeCell ref="A107:E107"/>
  </mergeCells>
  <pageMargins left="0.90551181102362199" right="0.196850393700787" top="0.39370078740157499" bottom="0.39370078740157499" header="0" footer="0.196850393700787"/>
  <pageSetup paperSize="9" orientation="portrait" r:id="rId1"/>
  <headerFooter>
    <oddFooter xml:space="preserve">&amp;R&amp;"Arial,Regular"&amp;9Страна  &amp;"Arial,Bold"&amp;P&amp;"Arial,Regular"  од  &amp;N  </oddFooter>
  </headerFooter>
  <rowBreaks count="8" manualBreakCount="8">
    <brk id="21" max="16383" man="1"/>
    <brk id="26" max="16383" man="1"/>
    <brk id="48" max="16383" man="1"/>
    <brk id="63" max="16383" man="1"/>
    <brk id="77" max="16383" man="1"/>
    <brk id="97" max="16383" man="1"/>
    <brk id="107" max="16383" man="1"/>
    <brk id="11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6BBCC-8C1B-4AA7-AAB0-352A455176AF}">
  <dimension ref="A1:G103"/>
  <sheetViews>
    <sheetView showGridLines="0" showZeros="0" view="pageBreakPreview" zoomScaleNormal="100" zoomScaleSheetLayoutView="100" workbookViewId="0">
      <selection activeCell="A3" sqref="A3:F3"/>
    </sheetView>
  </sheetViews>
  <sheetFormatPr defaultColWidth="9.109375" defaultRowHeight="13.2"/>
  <cols>
    <col min="1" max="1" width="9.6640625" style="131" customWidth="1"/>
    <col min="2" max="2" width="36.44140625" style="131" customWidth="1"/>
    <col min="3" max="3" width="5.6640625" style="131" customWidth="1"/>
    <col min="4" max="4" width="9.6640625" style="131" customWidth="1"/>
    <col min="5" max="5" width="15.33203125" style="131" customWidth="1"/>
    <col min="6" max="6" width="15.6640625" style="131" customWidth="1"/>
    <col min="7" max="7" width="1.6640625" style="131" customWidth="1"/>
    <col min="8" max="8" width="13.109375" style="162" customWidth="1"/>
    <col min="9" max="16384" width="9.109375" style="162"/>
  </cols>
  <sheetData>
    <row r="1" spans="1:6" ht="7.5" customHeight="1"/>
    <row r="2" spans="1:6" ht="15.6">
      <c r="A2" s="353" t="s">
        <v>0</v>
      </c>
      <c r="B2" s="353"/>
      <c r="C2" s="353"/>
      <c r="D2" s="353"/>
      <c r="E2" s="353"/>
      <c r="F2" s="353"/>
    </row>
    <row r="3" spans="1:6" ht="45.75" customHeight="1">
      <c r="A3" s="344" t="s">
        <v>336</v>
      </c>
      <c r="B3" s="344"/>
      <c r="C3" s="344"/>
      <c r="D3" s="344"/>
      <c r="E3" s="344"/>
      <c r="F3" s="344"/>
    </row>
    <row r="4" spans="1:6">
      <c r="A4" s="358" t="s">
        <v>39</v>
      </c>
      <c r="B4" s="359"/>
      <c r="C4" s="359"/>
      <c r="D4" s="359"/>
      <c r="E4" s="359"/>
      <c r="F4" s="359"/>
    </row>
    <row r="5" spans="1:6" ht="4.5" customHeight="1" thickBot="1"/>
    <row r="6" spans="1:6" ht="27.6" thickTop="1" thickBot="1">
      <c r="A6" s="354" t="s">
        <v>1</v>
      </c>
      <c r="B6" s="356" t="s">
        <v>4</v>
      </c>
      <c r="C6" s="356" t="s">
        <v>10</v>
      </c>
      <c r="D6" s="273" t="s">
        <v>2</v>
      </c>
      <c r="E6" s="273" t="s">
        <v>5</v>
      </c>
      <c r="F6" s="132" t="s">
        <v>6</v>
      </c>
    </row>
    <row r="7" spans="1:6" ht="14.4" thickTop="1" thickBot="1">
      <c r="A7" s="355"/>
      <c r="B7" s="357"/>
      <c r="C7" s="357"/>
      <c r="D7" s="272" t="s">
        <v>7</v>
      </c>
      <c r="E7" s="272" t="s">
        <v>8</v>
      </c>
      <c r="F7" s="133" t="s">
        <v>9</v>
      </c>
    </row>
    <row r="8" spans="1:6" ht="9.9" customHeight="1" thickTop="1" thickBot="1">
      <c r="A8" s="271"/>
      <c r="B8" s="271"/>
      <c r="C8" s="271"/>
      <c r="D8" s="134"/>
      <c r="E8" s="134"/>
      <c r="F8" s="134"/>
    </row>
    <row r="9" spans="1:6" ht="20.100000000000001" customHeight="1" thickTop="1" thickBot="1">
      <c r="A9" s="159" t="s">
        <v>25</v>
      </c>
      <c r="B9" s="323" t="s">
        <v>12</v>
      </c>
      <c r="C9" s="348"/>
      <c r="D9" s="348"/>
      <c r="E9" s="348"/>
      <c r="F9" s="349"/>
    </row>
    <row r="10" spans="1:6" ht="12.75" customHeight="1" thickTop="1">
      <c r="A10" s="270"/>
      <c r="B10" s="219" t="s">
        <v>45</v>
      </c>
      <c r="C10" s="269"/>
      <c r="D10" s="269"/>
      <c r="E10" s="269"/>
      <c r="F10" s="135"/>
    </row>
    <row r="11" spans="1:6" ht="102" customHeight="1">
      <c r="A11" s="224"/>
      <c r="B11" s="243" t="s">
        <v>46</v>
      </c>
      <c r="C11" s="268"/>
      <c r="D11" s="268"/>
      <c r="E11" s="268"/>
      <c r="F11" s="136"/>
    </row>
    <row r="12" spans="1:6" ht="39.6">
      <c r="A12" s="172" t="s">
        <v>14</v>
      </c>
      <c r="B12" s="197" t="s">
        <v>232</v>
      </c>
      <c r="C12" s="170"/>
      <c r="D12" s="170"/>
      <c r="E12" s="187"/>
      <c r="F12" s="137"/>
    </row>
    <row r="13" spans="1:6" ht="39.6">
      <c r="A13" s="186"/>
      <c r="B13" s="225" t="s">
        <v>66</v>
      </c>
      <c r="C13" s="184"/>
      <c r="D13" s="184"/>
      <c r="E13" s="182"/>
      <c r="F13" s="138"/>
    </row>
    <row r="14" spans="1:6" ht="26.4">
      <c r="A14" s="181"/>
      <c r="B14" s="171" t="s">
        <v>304</v>
      </c>
      <c r="C14" s="179" t="s">
        <v>3</v>
      </c>
      <c r="D14" s="179">
        <v>1</v>
      </c>
      <c r="E14" s="168"/>
      <c r="F14" s="128">
        <f>D14*E14</f>
        <v>0</v>
      </c>
    </row>
    <row r="15" spans="1:6">
      <c r="A15" s="181"/>
      <c r="B15" s="267" t="s">
        <v>303</v>
      </c>
      <c r="C15" s="179" t="s">
        <v>3</v>
      </c>
      <c r="D15" s="179">
        <v>1</v>
      </c>
      <c r="E15" s="168"/>
      <c r="F15" s="128">
        <f>D15*E15</f>
        <v>0</v>
      </c>
    </row>
    <row r="16" spans="1:6" ht="26.4">
      <c r="A16" s="172" t="s">
        <v>15</v>
      </c>
      <c r="B16" s="197" t="s">
        <v>95</v>
      </c>
      <c r="C16" s="170"/>
      <c r="D16" s="170"/>
      <c r="E16" s="187"/>
      <c r="F16" s="137"/>
    </row>
    <row r="17" spans="1:6" ht="52.8">
      <c r="A17" s="186"/>
      <c r="B17" s="243" t="s">
        <v>96</v>
      </c>
      <c r="C17" s="184"/>
      <c r="D17" s="184"/>
      <c r="E17" s="182"/>
      <c r="F17" s="138"/>
    </row>
    <row r="18" spans="1:6" ht="26.4">
      <c r="A18" s="195"/>
      <c r="B18" s="194" t="s">
        <v>68</v>
      </c>
      <c r="C18" s="193" t="s">
        <v>13</v>
      </c>
      <c r="D18" s="249">
        <v>0.67</v>
      </c>
      <c r="E18" s="191"/>
      <c r="F18" s="130">
        <f>D18*E18</f>
        <v>0</v>
      </c>
    </row>
    <row r="19" spans="1:6" ht="9.9" customHeight="1">
      <c r="A19" s="139"/>
      <c r="B19" s="139"/>
      <c r="C19" s="139"/>
      <c r="D19" s="139"/>
      <c r="E19" s="139"/>
      <c r="F19" s="139"/>
    </row>
    <row r="20" spans="1:6" ht="20.100000000000001" customHeight="1" thickBot="1">
      <c r="A20" s="341" t="s">
        <v>11</v>
      </c>
      <c r="B20" s="342"/>
      <c r="C20" s="342"/>
      <c r="D20" s="342"/>
      <c r="E20" s="343"/>
      <c r="F20" s="140">
        <f>SUM(F12:F19)</f>
        <v>0</v>
      </c>
    </row>
    <row r="21" spans="1:6" ht="9.9" customHeight="1" thickTop="1" thickBot="1">
      <c r="A21" s="141"/>
      <c r="B21" s="141"/>
      <c r="C21" s="141"/>
      <c r="D21" s="141"/>
      <c r="E21" s="141"/>
      <c r="F21" s="141"/>
    </row>
    <row r="22" spans="1:6" ht="20.100000000000001" customHeight="1" thickTop="1" thickBot="1">
      <c r="A22" s="159" t="s">
        <v>29</v>
      </c>
      <c r="B22" s="323" t="s">
        <v>19</v>
      </c>
      <c r="C22" s="348"/>
      <c r="D22" s="348"/>
      <c r="E22" s="348"/>
      <c r="F22" s="349"/>
    </row>
    <row r="23" spans="1:6" ht="40.200000000000003" thickTop="1">
      <c r="A23" s="172" t="s">
        <v>20</v>
      </c>
      <c r="B23" s="189" t="s">
        <v>71</v>
      </c>
      <c r="C23" s="170"/>
      <c r="D23" s="196"/>
      <c r="E23" s="187"/>
      <c r="F23" s="137"/>
    </row>
    <row r="24" spans="1:6">
      <c r="A24" s="186"/>
      <c r="B24" s="243" t="s">
        <v>72</v>
      </c>
      <c r="C24" s="184"/>
      <c r="D24" s="190"/>
      <c r="E24" s="182"/>
      <c r="F24" s="138"/>
    </row>
    <row r="25" spans="1:6">
      <c r="A25" s="181"/>
      <c r="B25" s="206" t="s">
        <v>280</v>
      </c>
      <c r="C25" s="179" t="s">
        <v>26</v>
      </c>
      <c r="D25" s="178">
        <f>(1.2+0.9*2)*2</f>
        <v>6</v>
      </c>
      <c r="E25" s="168"/>
      <c r="F25" s="128">
        <f>D25*E25</f>
        <v>0</v>
      </c>
    </row>
    <row r="26" spans="1:6" ht="52.8">
      <c r="A26" s="172" t="s">
        <v>223</v>
      </c>
      <c r="B26" s="189" t="s">
        <v>99</v>
      </c>
      <c r="C26" s="170"/>
      <c r="D26" s="196"/>
      <c r="E26" s="187"/>
      <c r="F26" s="137"/>
    </row>
    <row r="27" spans="1:6">
      <c r="A27" s="186"/>
      <c r="B27" s="185" t="s">
        <v>97</v>
      </c>
      <c r="C27" s="184"/>
      <c r="D27" s="190"/>
      <c r="E27" s="182"/>
      <c r="F27" s="138"/>
    </row>
    <row r="28" spans="1:6">
      <c r="A28" s="186"/>
      <c r="B28" s="252" t="s">
        <v>98</v>
      </c>
      <c r="C28" s="184"/>
      <c r="D28" s="190"/>
      <c r="E28" s="182"/>
      <c r="F28" s="138"/>
    </row>
    <row r="29" spans="1:6" ht="39.6">
      <c r="A29" s="186"/>
      <c r="B29" s="185" t="s">
        <v>91</v>
      </c>
      <c r="C29" s="184"/>
      <c r="D29" s="190"/>
      <c r="E29" s="182"/>
      <c r="F29" s="138"/>
    </row>
    <row r="30" spans="1:6">
      <c r="A30" s="181"/>
      <c r="B30" s="206" t="s">
        <v>31</v>
      </c>
      <c r="C30" s="179" t="s">
        <v>13</v>
      </c>
      <c r="D30" s="178">
        <v>0.67</v>
      </c>
      <c r="E30" s="168"/>
      <c r="F30" s="128">
        <f>D30*E30</f>
        <v>0</v>
      </c>
    </row>
    <row r="31" spans="1:6" ht="9.9" customHeight="1">
      <c r="A31" s="139"/>
      <c r="B31" s="139"/>
      <c r="C31" s="139"/>
      <c r="D31" s="139"/>
      <c r="E31" s="139"/>
      <c r="F31" s="139"/>
    </row>
    <row r="32" spans="1:6" ht="20.100000000000001" customHeight="1" thickBot="1">
      <c r="A32" s="341" t="s">
        <v>21</v>
      </c>
      <c r="B32" s="342"/>
      <c r="C32" s="342"/>
      <c r="D32" s="342"/>
      <c r="E32" s="343"/>
      <c r="F32" s="140">
        <f>SUM(F23:F30)</f>
        <v>0</v>
      </c>
    </row>
    <row r="33" spans="1:6" ht="9.9" customHeight="1" thickTop="1" thickBot="1">
      <c r="A33" s="141"/>
      <c r="B33" s="141"/>
      <c r="C33" s="141"/>
      <c r="D33" s="141"/>
      <c r="E33" s="141"/>
      <c r="F33" s="141"/>
    </row>
    <row r="34" spans="1:6" ht="20.100000000000001" customHeight="1" thickTop="1" thickBot="1">
      <c r="A34" s="159" t="s">
        <v>28</v>
      </c>
      <c r="B34" s="323" t="s">
        <v>73</v>
      </c>
      <c r="C34" s="348"/>
      <c r="D34" s="348"/>
      <c r="E34" s="348"/>
      <c r="F34" s="349"/>
    </row>
    <row r="35" spans="1:6" ht="159" thickTop="1">
      <c r="A35" s="172" t="s">
        <v>27</v>
      </c>
      <c r="B35" s="197" t="s">
        <v>302</v>
      </c>
      <c r="C35" s="170"/>
      <c r="D35" s="246"/>
      <c r="E35" s="187"/>
      <c r="F35" s="137"/>
    </row>
    <row r="36" spans="1:6" ht="66">
      <c r="A36" s="186"/>
      <c r="B36" s="243" t="s">
        <v>179</v>
      </c>
      <c r="C36" s="184"/>
      <c r="D36" s="245"/>
      <c r="E36" s="182"/>
      <c r="F36" s="138"/>
    </row>
    <row r="37" spans="1:6" ht="79.2">
      <c r="A37" s="186"/>
      <c r="B37" s="243" t="s">
        <v>123</v>
      </c>
      <c r="C37" s="184"/>
      <c r="D37" s="245"/>
      <c r="E37" s="182"/>
      <c r="F37" s="138"/>
    </row>
    <row r="38" spans="1:6" ht="92.4">
      <c r="A38" s="186"/>
      <c r="B38" s="243" t="s">
        <v>125</v>
      </c>
      <c r="C38" s="184"/>
      <c r="D38" s="245"/>
      <c r="E38" s="182"/>
      <c r="F38" s="138"/>
    </row>
    <row r="39" spans="1:6">
      <c r="A39" s="186"/>
      <c r="B39" s="243" t="s">
        <v>34</v>
      </c>
      <c r="C39" s="184"/>
      <c r="D39" s="245"/>
      <c r="E39" s="182"/>
      <c r="F39" s="138"/>
    </row>
    <row r="40" spans="1:6" ht="26.4">
      <c r="A40" s="181"/>
      <c r="B40" s="171" t="s">
        <v>301</v>
      </c>
      <c r="C40" s="179" t="s">
        <v>3</v>
      </c>
      <c r="D40" s="275">
        <v>1</v>
      </c>
      <c r="E40" s="168"/>
      <c r="F40" s="128">
        <f>D40*E40</f>
        <v>0</v>
      </c>
    </row>
    <row r="41" spans="1:6" ht="26.4">
      <c r="A41" s="172" t="s">
        <v>221</v>
      </c>
      <c r="B41" s="197" t="s">
        <v>300</v>
      </c>
      <c r="C41" s="170"/>
      <c r="D41" s="246"/>
      <c r="E41" s="187"/>
      <c r="F41" s="137"/>
    </row>
    <row r="42" spans="1:6" ht="224.4">
      <c r="A42" s="195"/>
      <c r="B42" s="194" t="s">
        <v>299</v>
      </c>
      <c r="C42" s="193"/>
      <c r="D42" s="247"/>
      <c r="E42" s="191"/>
      <c r="F42" s="130"/>
    </row>
    <row r="43" spans="1:6" ht="118.8">
      <c r="A43" s="186"/>
      <c r="B43" s="243" t="s">
        <v>298</v>
      </c>
      <c r="C43" s="184"/>
      <c r="D43" s="245"/>
      <c r="E43" s="182"/>
      <c r="F43" s="138"/>
    </row>
    <row r="44" spans="1:6" ht="79.2">
      <c r="A44" s="186"/>
      <c r="B44" s="243" t="s">
        <v>297</v>
      </c>
      <c r="C44" s="184"/>
      <c r="D44" s="245"/>
      <c r="E44" s="182"/>
      <c r="F44" s="138"/>
    </row>
    <row r="45" spans="1:6" ht="92.4">
      <c r="A45" s="186"/>
      <c r="B45" s="243" t="s">
        <v>296</v>
      </c>
      <c r="C45" s="184"/>
      <c r="D45" s="245"/>
      <c r="E45" s="182"/>
      <c r="F45" s="138"/>
    </row>
    <row r="46" spans="1:6" ht="52.8">
      <c r="A46" s="186"/>
      <c r="B46" s="243" t="s">
        <v>295</v>
      </c>
      <c r="C46" s="184"/>
      <c r="D46" s="245"/>
      <c r="E46" s="182"/>
      <c r="F46" s="138"/>
    </row>
    <row r="47" spans="1:6" ht="52.8">
      <c r="A47" s="186"/>
      <c r="B47" s="243" t="s">
        <v>294</v>
      </c>
      <c r="C47" s="184"/>
      <c r="D47" s="245"/>
      <c r="E47" s="182"/>
      <c r="F47" s="138"/>
    </row>
    <row r="48" spans="1:6">
      <c r="A48" s="186"/>
      <c r="B48" s="243" t="s">
        <v>293</v>
      </c>
      <c r="C48" s="184"/>
      <c r="D48" s="245"/>
      <c r="E48" s="182"/>
      <c r="F48" s="138"/>
    </row>
    <row r="49" spans="1:6" ht="79.2">
      <c r="A49" s="186"/>
      <c r="B49" s="243" t="s">
        <v>292</v>
      </c>
      <c r="C49" s="184"/>
      <c r="D49" s="245"/>
      <c r="E49" s="182"/>
      <c r="F49" s="138"/>
    </row>
    <row r="50" spans="1:6" ht="66">
      <c r="A50" s="186"/>
      <c r="B50" s="243" t="s">
        <v>291</v>
      </c>
      <c r="C50" s="184"/>
      <c r="D50" s="245"/>
      <c r="E50" s="182"/>
      <c r="F50" s="138"/>
    </row>
    <row r="51" spans="1:6" ht="92.4">
      <c r="A51" s="186"/>
      <c r="B51" s="243" t="s">
        <v>125</v>
      </c>
      <c r="C51" s="184"/>
      <c r="D51" s="245"/>
      <c r="E51" s="182"/>
      <c r="F51" s="138"/>
    </row>
    <row r="52" spans="1:6">
      <c r="A52" s="186"/>
      <c r="B52" s="243" t="s">
        <v>34</v>
      </c>
      <c r="C52" s="184"/>
      <c r="D52" s="245"/>
      <c r="E52" s="182"/>
      <c r="F52" s="138"/>
    </row>
    <row r="53" spans="1:6" ht="26.4">
      <c r="A53" s="181"/>
      <c r="B53" s="171" t="s">
        <v>290</v>
      </c>
      <c r="C53" s="179" t="s">
        <v>3</v>
      </c>
      <c r="D53" s="275">
        <v>2</v>
      </c>
      <c r="E53" s="168"/>
      <c r="F53" s="128">
        <f>D53*E53</f>
        <v>0</v>
      </c>
    </row>
    <row r="54" spans="1:6" ht="9.9" customHeight="1">
      <c r="A54" s="200"/>
      <c r="B54" s="303"/>
      <c r="C54" s="303"/>
      <c r="D54" s="303"/>
      <c r="E54" s="303"/>
      <c r="F54" s="302"/>
    </row>
    <row r="55" spans="1:6" ht="20.100000000000001" customHeight="1" thickBot="1">
      <c r="A55" s="341" t="s">
        <v>74</v>
      </c>
      <c r="B55" s="342"/>
      <c r="C55" s="342"/>
      <c r="D55" s="342"/>
      <c r="E55" s="343"/>
      <c r="F55" s="140">
        <f>SUM(F35:F53)</f>
        <v>0</v>
      </c>
    </row>
    <row r="56" spans="1:6" ht="9.9" customHeight="1" thickTop="1" thickBot="1">
      <c r="A56" s="141"/>
      <c r="B56" s="141"/>
      <c r="C56" s="141"/>
      <c r="D56" s="141"/>
      <c r="E56" s="141"/>
      <c r="F56" s="141"/>
    </row>
    <row r="57" spans="1:6" ht="19.5" customHeight="1" thickTop="1" thickBot="1">
      <c r="A57" s="159" t="s">
        <v>30</v>
      </c>
      <c r="B57" s="371" t="s">
        <v>289</v>
      </c>
      <c r="C57" s="324"/>
      <c r="D57" s="324"/>
      <c r="E57" s="324"/>
      <c r="F57" s="345"/>
    </row>
    <row r="58" spans="1:6" ht="27" thickTop="1">
      <c r="A58" s="172" t="s">
        <v>43</v>
      </c>
      <c r="B58" s="197" t="s">
        <v>288</v>
      </c>
      <c r="C58" s="184"/>
      <c r="D58" s="245"/>
      <c r="E58" s="182"/>
      <c r="F58" s="138"/>
    </row>
    <row r="59" spans="1:6" ht="39.6">
      <c r="A59" s="186"/>
      <c r="B59" s="243" t="s">
        <v>287</v>
      </c>
      <c r="C59" s="184"/>
      <c r="D59" s="245"/>
      <c r="E59" s="182"/>
      <c r="F59" s="138"/>
    </row>
    <row r="60" spans="1:6" ht="66">
      <c r="A60" s="186"/>
      <c r="B60" s="243" t="s">
        <v>286</v>
      </c>
      <c r="C60" s="184"/>
      <c r="D60" s="245"/>
      <c r="E60" s="182"/>
      <c r="F60" s="138"/>
    </row>
    <row r="61" spans="1:6" ht="92.4">
      <c r="A61" s="186"/>
      <c r="B61" s="243" t="s">
        <v>285</v>
      </c>
      <c r="C61" s="184"/>
      <c r="D61" s="245"/>
      <c r="E61" s="182"/>
      <c r="F61" s="138"/>
    </row>
    <row r="62" spans="1:6">
      <c r="A62" s="186"/>
      <c r="B62" s="243" t="s">
        <v>34</v>
      </c>
      <c r="C62" s="184"/>
      <c r="D62" s="245"/>
      <c r="E62" s="182"/>
      <c r="F62" s="138"/>
    </row>
    <row r="63" spans="1:6" ht="26.4">
      <c r="A63" s="181"/>
      <c r="B63" s="171" t="s">
        <v>284</v>
      </c>
      <c r="C63" s="179" t="s">
        <v>3</v>
      </c>
      <c r="D63" s="275">
        <v>2</v>
      </c>
      <c r="E63" s="168"/>
      <c r="F63" s="128">
        <f>D63*E63</f>
        <v>0</v>
      </c>
    </row>
    <row r="64" spans="1:6" ht="10.5" customHeight="1">
      <c r="A64" s="217"/>
      <c r="B64" s="218"/>
      <c r="C64" s="218"/>
      <c r="D64" s="218"/>
      <c r="E64" s="218"/>
      <c r="F64" s="150"/>
    </row>
    <row r="65" spans="1:6" ht="18.75" customHeight="1" thickBot="1">
      <c r="A65" s="341" t="s">
        <v>283</v>
      </c>
      <c r="B65" s="342"/>
      <c r="C65" s="342"/>
      <c r="D65" s="342"/>
      <c r="E65" s="343"/>
      <c r="F65" s="140">
        <f>SUM(F58:F63)</f>
        <v>0</v>
      </c>
    </row>
    <row r="66" spans="1:6" ht="10.5" customHeight="1" thickTop="1" thickBot="1">
      <c r="A66" s="141"/>
      <c r="B66" s="141"/>
      <c r="C66" s="141"/>
      <c r="D66" s="141"/>
      <c r="E66" s="141"/>
      <c r="F66" s="141"/>
    </row>
    <row r="67" spans="1:6" ht="18" customHeight="1" thickTop="1" thickBot="1">
      <c r="A67" s="159" t="s">
        <v>35</v>
      </c>
      <c r="B67" s="323" t="s">
        <v>57</v>
      </c>
      <c r="C67" s="324"/>
      <c r="D67" s="324"/>
      <c r="E67" s="324"/>
      <c r="F67" s="345"/>
    </row>
    <row r="68" spans="1:6" ht="53.4" thickTop="1">
      <c r="A68" s="177" t="s">
        <v>32</v>
      </c>
      <c r="B68" s="220" t="s">
        <v>84</v>
      </c>
      <c r="C68" s="219"/>
      <c r="D68" s="219"/>
      <c r="E68" s="219"/>
      <c r="F68" s="151"/>
    </row>
    <row r="69" spans="1:6" ht="12.75" customHeight="1">
      <c r="A69" s="217"/>
      <c r="B69" s="218" t="s">
        <v>58</v>
      </c>
      <c r="C69" s="218"/>
      <c r="D69" s="218"/>
      <c r="E69" s="218"/>
      <c r="F69" s="150"/>
    </row>
    <row r="70" spans="1:6" ht="12.75" customHeight="1">
      <c r="A70" s="214"/>
      <c r="B70" s="213" t="s">
        <v>59</v>
      </c>
      <c r="C70" s="213"/>
      <c r="D70" s="213"/>
      <c r="E70" s="213"/>
      <c r="F70" s="152"/>
    </row>
    <row r="71" spans="1:6" ht="12.75" customHeight="1">
      <c r="A71" s="217"/>
      <c r="B71" s="216" t="s">
        <v>282</v>
      </c>
      <c r="C71" s="193" t="s">
        <v>13</v>
      </c>
      <c r="D71" s="274">
        <f>1.25*3.34+6.85*3.34</f>
        <v>27.053999999999998</v>
      </c>
      <c r="E71" s="210"/>
      <c r="F71" s="130">
        <f>D71*E71</f>
        <v>0</v>
      </c>
    </row>
    <row r="72" spans="1:6" ht="12.75" customHeight="1">
      <c r="A72" s="214"/>
      <c r="B72" s="213" t="s">
        <v>60</v>
      </c>
      <c r="C72" s="170"/>
      <c r="D72" s="170"/>
      <c r="E72" s="208"/>
      <c r="F72" s="137"/>
    </row>
    <row r="73" spans="1:6" ht="12.75" customHeight="1">
      <c r="A73" s="207"/>
      <c r="B73" s="212" t="s">
        <v>281</v>
      </c>
      <c r="C73" s="184" t="s">
        <v>13</v>
      </c>
      <c r="D73" s="211">
        <f>0.67*2</f>
        <v>1.34</v>
      </c>
      <c r="E73" s="210"/>
      <c r="F73" s="138">
        <f>D73*E73</f>
        <v>0</v>
      </c>
    </row>
    <row r="74" spans="1:6" ht="39.6">
      <c r="A74" s="172" t="s">
        <v>160</v>
      </c>
      <c r="B74" s="209" t="s">
        <v>78</v>
      </c>
      <c r="C74" s="170"/>
      <c r="D74" s="170"/>
      <c r="E74" s="208"/>
      <c r="F74" s="137"/>
    </row>
    <row r="75" spans="1:6" ht="26.4">
      <c r="A75" s="207"/>
      <c r="B75" s="204" t="s">
        <v>79</v>
      </c>
      <c r="C75" s="184"/>
      <c r="D75" s="184"/>
      <c r="E75" s="201"/>
      <c r="F75" s="138"/>
    </row>
    <row r="76" spans="1:6">
      <c r="A76" s="207"/>
      <c r="B76" s="202" t="s">
        <v>80</v>
      </c>
      <c r="C76" s="184"/>
      <c r="D76" s="184"/>
      <c r="E76" s="201"/>
      <c r="F76" s="138"/>
    </row>
    <row r="77" spans="1:6">
      <c r="A77" s="200"/>
      <c r="B77" s="206" t="s">
        <v>280</v>
      </c>
      <c r="C77" s="179" t="s">
        <v>26</v>
      </c>
      <c r="D77" s="178">
        <f>(1.2+0.9*2)*2</f>
        <v>6</v>
      </c>
      <c r="E77" s="205"/>
      <c r="F77" s="128">
        <f>D77*E77</f>
        <v>0</v>
      </c>
    </row>
    <row r="78" spans="1:6" ht="66">
      <c r="A78" s="186" t="s">
        <v>266</v>
      </c>
      <c r="B78" s="204" t="s">
        <v>81</v>
      </c>
      <c r="C78" s="202"/>
      <c r="D78" s="202"/>
      <c r="E78" s="201"/>
      <c r="F78" s="153"/>
    </row>
    <row r="79" spans="1:6">
      <c r="A79" s="203"/>
      <c r="B79" s="202" t="s">
        <v>58</v>
      </c>
      <c r="C79" s="202"/>
      <c r="D79" s="202"/>
      <c r="E79" s="201"/>
      <c r="F79" s="153"/>
    </row>
    <row r="80" spans="1:6" ht="12.75" customHeight="1">
      <c r="A80" s="200"/>
      <c r="B80" s="180" t="s">
        <v>279</v>
      </c>
      <c r="C80" s="179" t="s">
        <v>13</v>
      </c>
      <c r="D80" s="199">
        <f>2.5*(3.45+4.1)</f>
        <v>18.875</v>
      </c>
      <c r="E80" s="198"/>
      <c r="F80" s="128">
        <f>D80*E80</f>
        <v>0</v>
      </c>
    </row>
    <row r="81" spans="1:6" ht="9" customHeight="1">
      <c r="A81" s="145"/>
      <c r="B81" s="145"/>
      <c r="C81" s="145"/>
      <c r="D81" s="145"/>
      <c r="E81" s="145"/>
      <c r="F81" s="145"/>
    </row>
    <row r="82" spans="1:6" ht="19.5" customHeight="1" thickBot="1">
      <c r="A82" s="341" t="s">
        <v>37</v>
      </c>
      <c r="B82" s="342"/>
      <c r="C82" s="342"/>
      <c r="D82" s="342"/>
      <c r="E82" s="343"/>
      <c r="F82" s="140">
        <f>SUM(F69:F81)</f>
        <v>0</v>
      </c>
    </row>
    <row r="83" spans="1:6" ht="9.9" customHeight="1" thickTop="1" thickBot="1">
      <c r="A83" s="141"/>
      <c r="B83" s="141"/>
      <c r="C83" s="141"/>
      <c r="D83" s="141"/>
      <c r="E83" s="141"/>
      <c r="F83" s="141"/>
    </row>
    <row r="84" spans="1:6" ht="18" customHeight="1" thickTop="1" thickBot="1">
      <c r="A84" s="159" t="s">
        <v>36</v>
      </c>
      <c r="B84" s="323" t="s">
        <v>22</v>
      </c>
      <c r="C84" s="348"/>
      <c r="D84" s="348"/>
      <c r="E84" s="348"/>
      <c r="F84" s="349"/>
    </row>
    <row r="85" spans="1:6" ht="27" thickTop="1">
      <c r="A85" s="177" t="s">
        <v>33</v>
      </c>
      <c r="B85" s="176" t="s">
        <v>83</v>
      </c>
      <c r="C85" s="175"/>
      <c r="D85" s="174"/>
      <c r="E85" s="173"/>
      <c r="F85" s="154"/>
    </row>
    <row r="86" spans="1:6">
      <c r="A86" s="172"/>
      <c r="B86" s="171" t="s">
        <v>31</v>
      </c>
      <c r="C86" s="170" t="s">
        <v>13</v>
      </c>
      <c r="D86" s="169">
        <f>0.67*2+2.5*1.5*2</f>
        <v>8.84</v>
      </c>
      <c r="E86" s="168"/>
      <c r="F86" s="128">
        <f>D86*E86</f>
        <v>0</v>
      </c>
    </row>
    <row r="87" spans="1:6" ht="9.9" customHeight="1">
      <c r="A87" s="139"/>
      <c r="B87" s="139"/>
      <c r="C87" s="139"/>
      <c r="D87" s="139"/>
      <c r="E87" s="139"/>
      <c r="F87" s="139"/>
    </row>
    <row r="88" spans="1:6" ht="20.100000000000001" customHeight="1" thickBot="1">
      <c r="A88" s="341" t="s">
        <v>38</v>
      </c>
      <c r="B88" s="342"/>
      <c r="C88" s="342"/>
      <c r="D88" s="342"/>
      <c r="E88" s="343"/>
      <c r="F88" s="140">
        <f>SUM(F86:F87)</f>
        <v>0</v>
      </c>
    </row>
    <row r="89" spans="1:6" ht="9.9" customHeight="1" thickTop="1"/>
    <row r="91" spans="1:6" ht="39.75" customHeight="1">
      <c r="A91" s="344" t="s">
        <v>336</v>
      </c>
      <c r="B91" s="344"/>
      <c r="C91" s="344"/>
      <c r="D91" s="344"/>
      <c r="E91" s="344"/>
      <c r="F91" s="344"/>
    </row>
    <row r="92" spans="1:6" ht="13.8" thickBot="1"/>
    <row r="93" spans="1:6" ht="16.8" thickTop="1" thickBot="1">
      <c r="A93" s="350" t="s">
        <v>40</v>
      </c>
      <c r="B93" s="351"/>
      <c r="C93" s="351"/>
      <c r="D93" s="351"/>
      <c r="E93" s="351"/>
      <c r="F93" s="352"/>
    </row>
    <row r="94" spans="1:6" ht="14.4" thickTop="1" thickBot="1"/>
    <row r="95" spans="1:6" ht="20.25" customHeight="1" thickTop="1" thickBot="1">
      <c r="A95" s="159" t="s">
        <v>23</v>
      </c>
      <c r="B95" s="160" t="s">
        <v>24</v>
      </c>
      <c r="C95" s="161"/>
      <c r="D95" s="161"/>
      <c r="E95" s="161"/>
      <c r="F95" s="156"/>
    </row>
    <row r="96" spans="1:6" ht="20.100000000000001" customHeight="1" thickTop="1" thickBot="1">
      <c r="A96" s="159" t="str">
        <f>A9</f>
        <v>01.01.00.</v>
      </c>
      <c r="B96" s="323" t="str">
        <f>B9</f>
        <v>ДЕМОНТАЖНИ РАДОВИ</v>
      </c>
      <c r="C96" s="324"/>
      <c r="D96" s="324"/>
      <c r="E96" s="325"/>
      <c r="F96" s="157">
        <f>F20</f>
        <v>0</v>
      </c>
    </row>
    <row r="97" spans="1:6" ht="20.100000000000001" customHeight="1" thickTop="1" thickBot="1">
      <c r="A97" s="159" t="str">
        <f>A22</f>
        <v>01.02.00.</v>
      </c>
      <c r="B97" s="163" t="str">
        <f>B22</f>
        <v>ЗИДАРСКИ РАДОВИ</v>
      </c>
      <c r="C97" s="164"/>
      <c r="D97" s="164"/>
      <c r="E97" s="165"/>
      <c r="F97" s="157">
        <f>F32</f>
        <v>0</v>
      </c>
    </row>
    <row r="98" spans="1:6" ht="20.100000000000001" customHeight="1" thickTop="1" thickBot="1">
      <c r="A98" s="159" t="str">
        <f>A34</f>
        <v>01.03.00.</v>
      </c>
      <c r="B98" s="323" t="str">
        <f>B34</f>
        <v>БРАВАРСКИ РАДОВИ</v>
      </c>
      <c r="C98" s="324"/>
      <c r="D98" s="324"/>
      <c r="E98" s="325"/>
      <c r="F98" s="157">
        <f>F55</f>
        <v>0</v>
      </c>
    </row>
    <row r="99" spans="1:6" ht="20.100000000000001" customHeight="1" thickTop="1" thickBot="1">
      <c r="A99" s="159" t="str">
        <f>A57</f>
        <v>01.04.00.</v>
      </c>
      <c r="B99" s="163" t="str">
        <f>B57</f>
        <v>ПВЦ СТОЛАРИЈА</v>
      </c>
      <c r="C99" s="164"/>
      <c r="D99" s="164"/>
      <c r="E99" s="165"/>
      <c r="F99" s="157">
        <f>F65</f>
        <v>0</v>
      </c>
    </row>
    <row r="100" spans="1:6" ht="20.100000000000001" customHeight="1" thickTop="1" thickBot="1">
      <c r="A100" s="159" t="str">
        <f>A67</f>
        <v>01.05.00.</v>
      </c>
      <c r="B100" s="163" t="str">
        <f>B67</f>
        <v>МОЛЕРСКО ФАРБАРСКИ РАДОВИ</v>
      </c>
      <c r="C100" s="164"/>
      <c r="D100" s="164"/>
      <c r="E100" s="165"/>
      <c r="F100" s="157">
        <f>F82</f>
        <v>0</v>
      </c>
    </row>
    <row r="101" spans="1:6" ht="20.100000000000001" customHeight="1" thickTop="1" thickBot="1">
      <c r="A101" s="166" t="str">
        <f>A84</f>
        <v>01.06.00.</v>
      </c>
      <c r="B101" s="163" t="str">
        <f>B84</f>
        <v>РАЗНИ РАДОВИ</v>
      </c>
      <c r="C101" s="164"/>
      <c r="D101" s="164"/>
      <c r="E101" s="165"/>
      <c r="F101" s="158">
        <f>F88</f>
        <v>0</v>
      </c>
    </row>
    <row r="102" spans="1:6" ht="20.100000000000001" customHeight="1" thickTop="1" thickBot="1">
      <c r="A102" s="166"/>
      <c r="B102" s="164"/>
      <c r="C102" s="164"/>
      <c r="D102" s="346" t="s">
        <v>41</v>
      </c>
      <c r="E102" s="347"/>
      <c r="F102" s="158">
        <f>SUM(F96:F101)</f>
        <v>0</v>
      </c>
    </row>
    <row r="103" spans="1:6" ht="13.8" thickTop="1"/>
  </sheetData>
  <sheetProtection algorithmName="SHA-512" hashValue="JAdPaUqMy4iIhBlS4WVoQs2igx8A/aAJNfwwgP7O+xIdCOeg1JX71zCGCp4z0ABq+ajPVrOlKKoa7QvrbzJlqQ==" saltValue="cm7lZkj91097FP59GFTodA==" spinCount="100000" sheet="1" formatCells="0" formatColumns="0" formatRows="0" insertColumns="0" insertRows="0" insertHyperlinks="0" deleteColumns="0" deleteRows="0" sort="0" autoFilter="0" pivotTables="0"/>
  <protectedRanges>
    <protectedRange sqref="E1:E1048576" name="Range1"/>
  </protectedRanges>
  <mergeCells count="23">
    <mergeCell ref="D102:E102"/>
    <mergeCell ref="A20:E20"/>
    <mergeCell ref="B98:E98"/>
    <mergeCell ref="A2:F2"/>
    <mergeCell ref="B9:F9"/>
    <mergeCell ref="A6:A7"/>
    <mergeCell ref="B6:B7"/>
    <mergeCell ref="C6:C7"/>
    <mergeCell ref="A32:E32"/>
    <mergeCell ref="B96:E96"/>
    <mergeCell ref="B57:F57"/>
    <mergeCell ref="A82:E82"/>
    <mergeCell ref="B84:F84"/>
    <mergeCell ref="A65:E65"/>
    <mergeCell ref="A93:F93"/>
    <mergeCell ref="A3:F3"/>
    <mergeCell ref="A4:F4"/>
    <mergeCell ref="B34:F34"/>
    <mergeCell ref="A55:E55"/>
    <mergeCell ref="A91:F91"/>
    <mergeCell ref="B67:F67"/>
    <mergeCell ref="B22:F22"/>
    <mergeCell ref="A88:E88"/>
  </mergeCells>
  <pageMargins left="0.90551181102362199" right="0.196850393700787" top="0.39370078740157499" bottom="0.39370078740157499" header="0" footer="0.196850393700787"/>
  <pageSetup paperSize="9" orientation="portrait" r:id="rId1"/>
  <headerFooter>
    <oddFooter xml:space="preserve">&amp;R&amp;"Arial,Regular"&amp;9Страна  &amp;"Arial,Bold"&amp;P&amp;"Arial,Regular"  од  &amp;N  </oddFooter>
  </headerFooter>
  <rowBreaks count="7" manualBreakCount="7">
    <brk id="20" max="16383" man="1"/>
    <brk id="32" max="16383" man="1"/>
    <brk id="42" max="16383" man="1"/>
    <brk id="55" max="16383" man="1"/>
    <brk id="65" max="16383" man="1"/>
    <brk id="82" max="16383" man="1"/>
    <brk id="8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098C5-0CEF-4F10-A0F8-809312023A90}">
  <dimension ref="A1:G103"/>
  <sheetViews>
    <sheetView showGridLines="0" showZeros="0" view="pageBreakPreview" zoomScale="110" zoomScaleNormal="100" zoomScaleSheetLayoutView="110" workbookViewId="0">
      <selection activeCell="A3" sqref="A3:F3"/>
    </sheetView>
  </sheetViews>
  <sheetFormatPr defaultColWidth="9.109375" defaultRowHeight="13.2"/>
  <cols>
    <col min="1" max="1" width="9.6640625" style="131" customWidth="1"/>
    <col min="2" max="2" width="36.44140625" style="131" customWidth="1"/>
    <col min="3" max="3" width="5.6640625" style="131" customWidth="1"/>
    <col min="4" max="4" width="9.6640625" style="131" customWidth="1"/>
    <col min="5" max="5" width="15.33203125" style="131" customWidth="1"/>
    <col min="6" max="6" width="15.6640625" style="131" customWidth="1"/>
    <col min="7" max="7" width="1.6640625" style="131" customWidth="1"/>
    <col min="8" max="8" width="13.109375" style="162" customWidth="1"/>
    <col min="9" max="16384" width="9.109375" style="162"/>
  </cols>
  <sheetData>
    <row r="1" spans="1:6" ht="7.5" customHeight="1"/>
    <row r="2" spans="1:6" ht="15.6">
      <c r="A2" s="353" t="s">
        <v>0</v>
      </c>
      <c r="B2" s="353"/>
      <c r="C2" s="353"/>
      <c r="D2" s="353"/>
      <c r="E2" s="353"/>
      <c r="F2" s="353"/>
    </row>
    <row r="3" spans="1:6" ht="45.75" customHeight="1">
      <c r="A3" s="344" t="s">
        <v>337</v>
      </c>
      <c r="B3" s="344"/>
      <c r="C3" s="344"/>
      <c r="D3" s="344"/>
      <c r="E3" s="344"/>
      <c r="F3" s="344"/>
    </row>
    <row r="4" spans="1:6">
      <c r="A4" s="358" t="s">
        <v>39</v>
      </c>
      <c r="B4" s="359"/>
      <c r="C4" s="359"/>
      <c r="D4" s="359"/>
      <c r="E4" s="359"/>
      <c r="F4" s="359"/>
    </row>
    <row r="5" spans="1:6" ht="4.5" customHeight="1" thickBot="1"/>
    <row r="6" spans="1:6" ht="27.6" thickTop="1" thickBot="1">
      <c r="A6" s="354" t="s">
        <v>1</v>
      </c>
      <c r="B6" s="356" t="s">
        <v>4</v>
      </c>
      <c r="C6" s="356" t="s">
        <v>10</v>
      </c>
      <c r="D6" s="273" t="s">
        <v>2</v>
      </c>
      <c r="E6" s="273" t="s">
        <v>5</v>
      </c>
      <c r="F6" s="132" t="s">
        <v>6</v>
      </c>
    </row>
    <row r="7" spans="1:6" ht="14.4" thickTop="1" thickBot="1">
      <c r="A7" s="355"/>
      <c r="B7" s="357"/>
      <c r="C7" s="357"/>
      <c r="D7" s="272" t="s">
        <v>7</v>
      </c>
      <c r="E7" s="272" t="s">
        <v>8</v>
      </c>
      <c r="F7" s="133" t="s">
        <v>9</v>
      </c>
    </row>
    <row r="8" spans="1:6" ht="9.9" customHeight="1" thickTop="1" thickBot="1">
      <c r="A8" s="271"/>
      <c r="B8" s="271"/>
      <c r="C8" s="271"/>
      <c r="D8" s="134"/>
      <c r="E8" s="134"/>
      <c r="F8" s="134"/>
    </row>
    <row r="9" spans="1:6" ht="20.100000000000001" customHeight="1" thickTop="1" thickBot="1">
      <c r="A9" s="159" t="s">
        <v>25</v>
      </c>
      <c r="B9" s="323" t="s">
        <v>12</v>
      </c>
      <c r="C9" s="348"/>
      <c r="D9" s="348"/>
      <c r="E9" s="348"/>
      <c r="F9" s="349"/>
    </row>
    <row r="10" spans="1:6" ht="12.75" customHeight="1" thickTop="1">
      <c r="A10" s="270"/>
      <c r="B10" s="219" t="s">
        <v>45</v>
      </c>
      <c r="C10" s="269"/>
      <c r="D10" s="269"/>
      <c r="E10" s="269"/>
      <c r="F10" s="135"/>
    </row>
    <row r="11" spans="1:6" ht="102" customHeight="1">
      <c r="A11" s="224"/>
      <c r="B11" s="243" t="s">
        <v>46</v>
      </c>
      <c r="C11" s="268"/>
      <c r="D11" s="268"/>
      <c r="E11" s="268"/>
      <c r="F11" s="136"/>
    </row>
    <row r="12" spans="1:6" ht="39.6">
      <c r="A12" s="172" t="s">
        <v>14</v>
      </c>
      <c r="B12" s="197" t="s">
        <v>232</v>
      </c>
      <c r="C12" s="170"/>
      <c r="D12" s="170"/>
      <c r="E12" s="187"/>
      <c r="F12" s="137"/>
    </row>
    <row r="13" spans="1:6" ht="39.6">
      <c r="A13" s="186"/>
      <c r="B13" s="225" t="s">
        <v>66</v>
      </c>
      <c r="C13" s="184"/>
      <c r="D13" s="184"/>
      <c r="E13" s="182"/>
      <c r="F13" s="138"/>
    </row>
    <row r="14" spans="1:6" ht="26.4">
      <c r="A14" s="181"/>
      <c r="B14" s="171" t="s">
        <v>304</v>
      </c>
      <c r="C14" s="179" t="s">
        <v>3</v>
      </c>
      <c r="D14" s="179">
        <v>1</v>
      </c>
      <c r="E14" s="168"/>
      <c r="F14" s="128">
        <f>D14*E14</f>
        <v>0</v>
      </c>
    </row>
    <row r="15" spans="1:6">
      <c r="A15" s="181"/>
      <c r="B15" s="267" t="s">
        <v>303</v>
      </c>
      <c r="C15" s="179" t="s">
        <v>3</v>
      </c>
      <c r="D15" s="179">
        <v>1</v>
      </c>
      <c r="E15" s="168"/>
      <c r="F15" s="128">
        <f>D15*E15</f>
        <v>0</v>
      </c>
    </row>
    <row r="16" spans="1:6" ht="26.4">
      <c r="A16" s="172" t="s">
        <v>15</v>
      </c>
      <c r="B16" s="197" t="s">
        <v>95</v>
      </c>
      <c r="C16" s="170"/>
      <c r="D16" s="170"/>
      <c r="E16" s="187"/>
      <c r="F16" s="137"/>
    </row>
    <row r="17" spans="1:6" ht="52.8">
      <c r="A17" s="186"/>
      <c r="B17" s="243" t="s">
        <v>96</v>
      </c>
      <c r="C17" s="184"/>
      <c r="D17" s="184"/>
      <c r="E17" s="182"/>
      <c r="F17" s="138"/>
    </row>
    <row r="18" spans="1:6" ht="26.4">
      <c r="A18" s="195"/>
      <c r="B18" s="194" t="s">
        <v>68</v>
      </c>
      <c r="C18" s="193" t="s">
        <v>13</v>
      </c>
      <c r="D18" s="249">
        <v>0.67</v>
      </c>
      <c r="E18" s="191"/>
      <c r="F18" s="130">
        <f>D18*E18</f>
        <v>0</v>
      </c>
    </row>
    <row r="19" spans="1:6" ht="9.9" customHeight="1">
      <c r="A19" s="139"/>
      <c r="B19" s="139"/>
      <c r="C19" s="139"/>
      <c r="D19" s="139"/>
      <c r="E19" s="139"/>
      <c r="F19" s="139"/>
    </row>
    <row r="20" spans="1:6" ht="20.100000000000001" customHeight="1" thickBot="1">
      <c r="A20" s="341" t="s">
        <v>11</v>
      </c>
      <c r="B20" s="342"/>
      <c r="C20" s="342"/>
      <c r="D20" s="342"/>
      <c r="E20" s="343"/>
      <c r="F20" s="140">
        <f>SUM(F12:F19)</f>
        <v>0</v>
      </c>
    </row>
    <row r="21" spans="1:6" ht="9.9" customHeight="1" thickTop="1" thickBot="1">
      <c r="A21" s="141"/>
      <c r="B21" s="141"/>
      <c r="C21" s="141"/>
      <c r="D21" s="141"/>
      <c r="E21" s="141"/>
      <c r="F21" s="141"/>
    </row>
    <row r="22" spans="1:6" ht="20.100000000000001" customHeight="1" thickTop="1" thickBot="1">
      <c r="A22" s="159" t="s">
        <v>29</v>
      </c>
      <c r="B22" s="323" t="s">
        <v>19</v>
      </c>
      <c r="C22" s="348"/>
      <c r="D22" s="348"/>
      <c r="E22" s="348"/>
      <c r="F22" s="349"/>
    </row>
    <row r="23" spans="1:6" ht="40.200000000000003" thickTop="1">
      <c r="A23" s="172" t="s">
        <v>20</v>
      </c>
      <c r="B23" s="189" t="s">
        <v>71</v>
      </c>
      <c r="C23" s="170"/>
      <c r="D23" s="196"/>
      <c r="E23" s="187"/>
      <c r="F23" s="137"/>
    </row>
    <row r="24" spans="1:6">
      <c r="A24" s="186"/>
      <c r="B24" s="243" t="s">
        <v>72</v>
      </c>
      <c r="C24" s="184"/>
      <c r="D24" s="190"/>
      <c r="E24" s="182"/>
      <c r="F24" s="138"/>
    </row>
    <row r="25" spans="1:6">
      <c r="A25" s="181"/>
      <c r="B25" s="206" t="s">
        <v>280</v>
      </c>
      <c r="C25" s="179" t="s">
        <v>26</v>
      </c>
      <c r="D25" s="178">
        <f>(1.2+0.9*2)*2</f>
        <v>6</v>
      </c>
      <c r="E25" s="168"/>
      <c r="F25" s="128">
        <f>D25*E25</f>
        <v>0</v>
      </c>
    </row>
    <row r="26" spans="1:6" ht="52.8">
      <c r="A26" s="172" t="s">
        <v>223</v>
      </c>
      <c r="B26" s="189" t="s">
        <v>99</v>
      </c>
      <c r="C26" s="170"/>
      <c r="D26" s="196"/>
      <c r="E26" s="187"/>
      <c r="F26" s="137"/>
    </row>
    <row r="27" spans="1:6">
      <c r="A27" s="186"/>
      <c r="B27" s="185" t="s">
        <v>97</v>
      </c>
      <c r="C27" s="184"/>
      <c r="D27" s="190"/>
      <c r="E27" s="182"/>
      <c r="F27" s="138"/>
    </row>
    <row r="28" spans="1:6">
      <c r="A28" s="186"/>
      <c r="B28" s="252" t="s">
        <v>98</v>
      </c>
      <c r="C28" s="184"/>
      <c r="D28" s="190"/>
      <c r="E28" s="182"/>
      <c r="F28" s="138"/>
    </row>
    <row r="29" spans="1:6" ht="39.6">
      <c r="A29" s="186"/>
      <c r="B29" s="185" t="s">
        <v>91</v>
      </c>
      <c r="C29" s="184"/>
      <c r="D29" s="190"/>
      <c r="E29" s="182"/>
      <c r="F29" s="138"/>
    </row>
    <row r="30" spans="1:6">
      <c r="A30" s="181"/>
      <c r="B30" s="206" t="s">
        <v>31</v>
      </c>
      <c r="C30" s="179" t="s">
        <v>13</v>
      </c>
      <c r="D30" s="178">
        <v>0.67</v>
      </c>
      <c r="E30" s="168"/>
      <c r="F30" s="128">
        <f>D30*E30</f>
        <v>0</v>
      </c>
    </row>
    <row r="31" spans="1:6" ht="9.9" customHeight="1">
      <c r="A31" s="139"/>
      <c r="B31" s="139"/>
      <c r="C31" s="139"/>
      <c r="D31" s="139"/>
      <c r="E31" s="139"/>
      <c r="F31" s="139"/>
    </row>
    <row r="32" spans="1:6" ht="20.100000000000001" customHeight="1" thickBot="1">
      <c r="A32" s="341" t="s">
        <v>21</v>
      </c>
      <c r="B32" s="342"/>
      <c r="C32" s="342"/>
      <c r="D32" s="342"/>
      <c r="E32" s="343"/>
      <c r="F32" s="140">
        <f>SUM(F23:F30)</f>
        <v>0</v>
      </c>
    </row>
    <row r="33" spans="1:6" ht="9.9" customHeight="1" thickTop="1" thickBot="1">
      <c r="A33" s="141"/>
      <c r="B33" s="141"/>
      <c r="C33" s="141"/>
      <c r="D33" s="141"/>
      <c r="E33" s="141"/>
      <c r="F33" s="141"/>
    </row>
    <row r="34" spans="1:6" ht="20.100000000000001" customHeight="1" thickTop="1" thickBot="1">
      <c r="A34" s="159" t="s">
        <v>28</v>
      </c>
      <c r="B34" s="323" t="s">
        <v>73</v>
      </c>
      <c r="C34" s="348"/>
      <c r="D34" s="348"/>
      <c r="E34" s="348"/>
      <c r="F34" s="349"/>
    </row>
    <row r="35" spans="1:6" ht="159" thickTop="1">
      <c r="A35" s="172" t="s">
        <v>27</v>
      </c>
      <c r="B35" s="197" t="s">
        <v>302</v>
      </c>
      <c r="C35" s="170"/>
      <c r="D35" s="246"/>
      <c r="E35" s="187"/>
      <c r="F35" s="137"/>
    </row>
    <row r="36" spans="1:6" ht="66">
      <c r="A36" s="186"/>
      <c r="B36" s="243" t="s">
        <v>179</v>
      </c>
      <c r="C36" s="184"/>
      <c r="D36" s="245"/>
      <c r="E36" s="182"/>
      <c r="F36" s="138"/>
    </row>
    <row r="37" spans="1:6" ht="79.2">
      <c r="A37" s="186"/>
      <c r="B37" s="243" t="s">
        <v>123</v>
      </c>
      <c r="C37" s="184"/>
      <c r="D37" s="245"/>
      <c r="E37" s="182"/>
      <c r="F37" s="138"/>
    </row>
    <row r="38" spans="1:6" ht="92.4">
      <c r="A38" s="186"/>
      <c r="B38" s="243" t="s">
        <v>125</v>
      </c>
      <c r="C38" s="184"/>
      <c r="D38" s="245"/>
      <c r="E38" s="182"/>
      <c r="F38" s="138"/>
    </row>
    <row r="39" spans="1:6">
      <c r="A39" s="186"/>
      <c r="B39" s="243" t="s">
        <v>34</v>
      </c>
      <c r="C39" s="184"/>
      <c r="D39" s="245"/>
      <c r="E39" s="182"/>
      <c r="F39" s="138"/>
    </row>
    <row r="40" spans="1:6" ht="26.4">
      <c r="A40" s="181"/>
      <c r="B40" s="171" t="s">
        <v>301</v>
      </c>
      <c r="C40" s="179" t="s">
        <v>3</v>
      </c>
      <c r="D40" s="275">
        <v>1</v>
      </c>
      <c r="E40" s="168"/>
      <c r="F40" s="128">
        <f>D40*E40</f>
        <v>0</v>
      </c>
    </row>
    <row r="41" spans="1:6" ht="26.4">
      <c r="A41" s="172" t="s">
        <v>221</v>
      </c>
      <c r="B41" s="197" t="s">
        <v>300</v>
      </c>
      <c r="C41" s="170"/>
      <c r="D41" s="246"/>
      <c r="E41" s="187"/>
      <c r="F41" s="137"/>
    </row>
    <row r="42" spans="1:6" ht="224.4">
      <c r="A42" s="195"/>
      <c r="B42" s="194" t="s">
        <v>299</v>
      </c>
      <c r="C42" s="193"/>
      <c r="D42" s="247"/>
      <c r="E42" s="191"/>
      <c r="F42" s="130"/>
    </row>
    <row r="43" spans="1:6" ht="118.8">
      <c r="A43" s="186"/>
      <c r="B43" s="243" t="s">
        <v>298</v>
      </c>
      <c r="C43" s="184"/>
      <c r="D43" s="245"/>
      <c r="E43" s="182"/>
      <c r="F43" s="138"/>
    </row>
    <row r="44" spans="1:6" ht="79.2">
      <c r="A44" s="186"/>
      <c r="B44" s="243" t="s">
        <v>297</v>
      </c>
      <c r="C44" s="184"/>
      <c r="D44" s="245"/>
      <c r="E44" s="182"/>
      <c r="F44" s="138"/>
    </row>
    <row r="45" spans="1:6" ht="92.4">
      <c r="A45" s="186"/>
      <c r="B45" s="243" t="s">
        <v>296</v>
      </c>
      <c r="C45" s="184"/>
      <c r="D45" s="245"/>
      <c r="E45" s="182"/>
      <c r="F45" s="138"/>
    </row>
    <row r="46" spans="1:6" ht="52.8">
      <c r="A46" s="186"/>
      <c r="B46" s="243" t="s">
        <v>295</v>
      </c>
      <c r="C46" s="184"/>
      <c r="D46" s="245"/>
      <c r="E46" s="182"/>
      <c r="F46" s="138"/>
    </row>
    <row r="47" spans="1:6" ht="52.8">
      <c r="A47" s="186"/>
      <c r="B47" s="243" t="s">
        <v>294</v>
      </c>
      <c r="C47" s="184"/>
      <c r="D47" s="245"/>
      <c r="E47" s="182"/>
      <c r="F47" s="138"/>
    </row>
    <row r="48" spans="1:6">
      <c r="A48" s="186"/>
      <c r="B48" s="243" t="s">
        <v>293</v>
      </c>
      <c r="C48" s="184"/>
      <c r="D48" s="245"/>
      <c r="E48" s="182"/>
      <c r="F48" s="138"/>
    </row>
    <row r="49" spans="1:6" ht="79.2">
      <c r="A49" s="186"/>
      <c r="B49" s="243" t="s">
        <v>292</v>
      </c>
      <c r="C49" s="184"/>
      <c r="D49" s="245"/>
      <c r="E49" s="182"/>
      <c r="F49" s="138"/>
    </row>
    <row r="50" spans="1:6" ht="66">
      <c r="A50" s="186"/>
      <c r="B50" s="243" t="s">
        <v>291</v>
      </c>
      <c r="C50" s="184"/>
      <c r="D50" s="245"/>
      <c r="E50" s="182"/>
      <c r="F50" s="138"/>
    </row>
    <row r="51" spans="1:6" ht="92.4">
      <c r="A51" s="186"/>
      <c r="B51" s="243" t="s">
        <v>125</v>
      </c>
      <c r="C51" s="184"/>
      <c r="D51" s="245"/>
      <c r="E51" s="182"/>
      <c r="F51" s="138"/>
    </row>
    <row r="52" spans="1:6">
      <c r="A52" s="186"/>
      <c r="B52" s="243" t="s">
        <v>34</v>
      </c>
      <c r="C52" s="184"/>
      <c r="D52" s="245"/>
      <c r="E52" s="182"/>
      <c r="F52" s="138"/>
    </row>
    <row r="53" spans="1:6" ht="26.4">
      <c r="A53" s="181"/>
      <c r="B53" s="171" t="s">
        <v>290</v>
      </c>
      <c r="C53" s="179" t="s">
        <v>3</v>
      </c>
      <c r="D53" s="275">
        <v>2</v>
      </c>
      <c r="E53" s="168"/>
      <c r="F53" s="128">
        <f>D53*E53</f>
        <v>0</v>
      </c>
    </row>
    <row r="54" spans="1:6" ht="9.9" customHeight="1">
      <c r="A54" s="200"/>
      <c r="B54" s="303"/>
      <c r="C54" s="303"/>
      <c r="D54" s="303"/>
      <c r="E54" s="303"/>
      <c r="F54" s="302"/>
    </row>
    <row r="55" spans="1:6" ht="20.100000000000001" customHeight="1" thickBot="1">
      <c r="A55" s="341" t="s">
        <v>74</v>
      </c>
      <c r="B55" s="342"/>
      <c r="C55" s="342"/>
      <c r="D55" s="342"/>
      <c r="E55" s="343"/>
      <c r="F55" s="140">
        <f>SUM(F35:F53)</f>
        <v>0</v>
      </c>
    </row>
    <row r="56" spans="1:6" ht="9.9" customHeight="1" thickTop="1" thickBot="1">
      <c r="A56" s="141"/>
      <c r="B56" s="141"/>
      <c r="C56" s="141"/>
      <c r="D56" s="141"/>
      <c r="E56" s="141"/>
      <c r="F56" s="141"/>
    </row>
    <row r="57" spans="1:6" ht="19.5" customHeight="1" thickTop="1" thickBot="1">
      <c r="A57" s="159" t="s">
        <v>30</v>
      </c>
      <c r="B57" s="371" t="s">
        <v>289</v>
      </c>
      <c r="C57" s="324"/>
      <c r="D57" s="324"/>
      <c r="E57" s="324"/>
      <c r="F57" s="345"/>
    </row>
    <row r="58" spans="1:6" ht="27" thickTop="1">
      <c r="A58" s="172" t="s">
        <v>43</v>
      </c>
      <c r="B58" s="197" t="s">
        <v>288</v>
      </c>
      <c r="C58" s="184"/>
      <c r="D58" s="245"/>
      <c r="E58" s="182"/>
      <c r="F58" s="138"/>
    </row>
    <row r="59" spans="1:6" ht="39.6">
      <c r="A59" s="186"/>
      <c r="B59" s="243" t="s">
        <v>287</v>
      </c>
      <c r="C59" s="184"/>
      <c r="D59" s="245"/>
      <c r="E59" s="182"/>
      <c r="F59" s="138"/>
    </row>
    <row r="60" spans="1:6" ht="66">
      <c r="A60" s="186"/>
      <c r="B60" s="243" t="s">
        <v>286</v>
      </c>
      <c r="C60" s="184"/>
      <c r="D60" s="245"/>
      <c r="E60" s="182"/>
      <c r="F60" s="138"/>
    </row>
    <row r="61" spans="1:6" ht="92.4">
      <c r="A61" s="186"/>
      <c r="B61" s="243" t="s">
        <v>285</v>
      </c>
      <c r="C61" s="184"/>
      <c r="D61" s="245"/>
      <c r="E61" s="182"/>
      <c r="F61" s="138"/>
    </row>
    <row r="62" spans="1:6">
      <c r="A62" s="186"/>
      <c r="B62" s="243" t="s">
        <v>34</v>
      </c>
      <c r="C62" s="184"/>
      <c r="D62" s="245"/>
      <c r="E62" s="182"/>
      <c r="F62" s="138"/>
    </row>
    <row r="63" spans="1:6" ht="26.4">
      <c r="A63" s="181"/>
      <c r="B63" s="171" t="s">
        <v>284</v>
      </c>
      <c r="C63" s="179" t="s">
        <v>3</v>
      </c>
      <c r="D63" s="275">
        <v>2</v>
      </c>
      <c r="E63" s="168"/>
      <c r="F63" s="128">
        <f>D63*E63</f>
        <v>0</v>
      </c>
    </row>
    <row r="64" spans="1:6" ht="10.5" customHeight="1">
      <c r="A64" s="217"/>
      <c r="B64" s="218"/>
      <c r="C64" s="218"/>
      <c r="D64" s="218"/>
      <c r="E64" s="218"/>
      <c r="F64" s="150"/>
    </row>
    <row r="65" spans="1:6" ht="18.75" customHeight="1" thickBot="1">
      <c r="A65" s="341" t="s">
        <v>283</v>
      </c>
      <c r="B65" s="342"/>
      <c r="C65" s="342"/>
      <c r="D65" s="342"/>
      <c r="E65" s="343"/>
      <c r="F65" s="140">
        <f>SUM(F58:F63)</f>
        <v>0</v>
      </c>
    </row>
    <row r="66" spans="1:6" ht="10.5" customHeight="1" thickTop="1" thickBot="1">
      <c r="A66" s="141"/>
      <c r="B66" s="141"/>
      <c r="C66" s="141"/>
      <c r="D66" s="141"/>
      <c r="E66" s="141"/>
      <c r="F66" s="141"/>
    </row>
    <row r="67" spans="1:6" ht="18" customHeight="1" thickTop="1" thickBot="1">
      <c r="A67" s="159" t="s">
        <v>35</v>
      </c>
      <c r="B67" s="323" t="s">
        <v>57</v>
      </c>
      <c r="C67" s="324"/>
      <c r="D67" s="324"/>
      <c r="E67" s="324"/>
      <c r="F67" s="345"/>
    </row>
    <row r="68" spans="1:6" ht="53.4" thickTop="1">
      <c r="A68" s="177" t="s">
        <v>32</v>
      </c>
      <c r="B68" s="220" t="s">
        <v>84</v>
      </c>
      <c r="C68" s="219"/>
      <c r="D68" s="219"/>
      <c r="E68" s="219"/>
      <c r="F68" s="151"/>
    </row>
    <row r="69" spans="1:6" ht="12.75" customHeight="1">
      <c r="A69" s="217"/>
      <c r="B69" s="218" t="s">
        <v>58</v>
      </c>
      <c r="C69" s="218"/>
      <c r="D69" s="218"/>
      <c r="E69" s="218"/>
      <c r="F69" s="150"/>
    </row>
    <row r="70" spans="1:6" ht="12.75" customHeight="1">
      <c r="A70" s="214"/>
      <c r="B70" s="213" t="s">
        <v>59</v>
      </c>
      <c r="C70" s="213"/>
      <c r="D70" s="213"/>
      <c r="E70" s="213"/>
      <c r="F70" s="152"/>
    </row>
    <row r="71" spans="1:6" ht="12.75" customHeight="1">
      <c r="A71" s="217"/>
      <c r="B71" s="216" t="s">
        <v>282</v>
      </c>
      <c r="C71" s="193" t="s">
        <v>13</v>
      </c>
      <c r="D71" s="274">
        <f>1.25*3.34+6.85*3.34</f>
        <v>27.053999999999998</v>
      </c>
      <c r="E71" s="210"/>
      <c r="F71" s="130">
        <f>D71*E71</f>
        <v>0</v>
      </c>
    </row>
    <row r="72" spans="1:6" ht="12.75" customHeight="1">
      <c r="A72" s="214"/>
      <c r="B72" s="213" t="s">
        <v>60</v>
      </c>
      <c r="C72" s="170"/>
      <c r="D72" s="170"/>
      <c r="E72" s="208"/>
      <c r="F72" s="137"/>
    </row>
    <row r="73" spans="1:6" ht="12.75" customHeight="1">
      <c r="A73" s="207"/>
      <c r="B73" s="212" t="s">
        <v>281</v>
      </c>
      <c r="C73" s="184" t="s">
        <v>13</v>
      </c>
      <c r="D73" s="211">
        <f>0.67*2</f>
        <v>1.34</v>
      </c>
      <c r="E73" s="210"/>
      <c r="F73" s="138">
        <f>D73*E73</f>
        <v>0</v>
      </c>
    </row>
    <row r="74" spans="1:6" ht="39.6">
      <c r="A74" s="172" t="s">
        <v>160</v>
      </c>
      <c r="B74" s="209" t="s">
        <v>78</v>
      </c>
      <c r="C74" s="170"/>
      <c r="D74" s="170"/>
      <c r="E74" s="208"/>
      <c r="F74" s="137"/>
    </row>
    <row r="75" spans="1:6" ht="26.4">
      <c r="A75" s="207"/>
      <c r="B75" s="204" t="s">
        <v>79</v>
      </c>
      <c r="C75" s="184"/>
      <c r="D75" s="184"/>
      <c r="E75" s="201"/>
      <c r="F75" s="138"/>
    </row>
    <row r="76" spans="1:6">
      <c r="A76" s="207"/>
      <c r="B76" s="202" t="s">
        <v>80</v>
      </c>
      <c r="C76" s="184"/>
      <c r="D76" s="184"/>
      <c r="E76" s="201"/>
      <c r="F76" s="138"/>
    </row>
    <row r="77" spans="1:6">
      <c r="A77" s="200"/>
      <c r="B77" s="206" t="s">
        <v>280</v>
      </c>
      <c r="C77" s="179" t="s">
        <v>26</v>
      </c>
      <c r="D77" s="178">
        <f>(1.2+0.9*2)*2</f>
        <v>6</v>
      </c>
      <c r="E77" s="205"/>
      <c r="F77" s="128">
        <f>D77*E77</f>
        <v>0</v>
      </c>
    </row>
    <row r="78" spans="1:6" ht="66">
      <c r="A78" s="186" t="s">
        <v>266</v>
      </c>
      <c r="B78" s="204" t="s">
        <v>81</v>
      </c>
      <c r="C78" s="202"/>
      <c r="D78" s="202"/>
      <c r="E78" s="201"/>
      <c r="F78" s="153"/>
    </row>
    <row r="79" spans="1:6">
      <c r="A79" s="203"/>
      <c r="B79" s="202" t="s">
        <v>58</v>
      </c>
      <c r="C79" s="202"/>
      <c r="D79" s="202"/>
      <c r="E79" s="201"/>
      <c r="F79" s="153"/>
    </row>
    <row r="80" spans="1:6" ht="12.75" customHeight="1">
      <c r="A80" s="200"/>
      <c r="B80" s="180" t="s">
        <v>279</v>
      </c>
      <c r="C80" s="179" t="s">
        <v>13</v>
      </c>
      <c r="D80" s="199">
        <f>2.5*(3.45+4.1)</f>
        <v>18.875</v>
      </c>
      <c r="E80" s="198"/>
      <c r="F80" s="128">
        <f>D80*E80</f>
        <v>0</v>
      </c>
    </row>
    <row r="81" spans="1:6" ht="9" customHeight="1">
      <c r="A81" s="145"/>
      <c r="B81" s="145"/>
      <c r="C81" s="145"/>
      <c r="D81" s="145"/>
      <c r="E81" s="145"/>
      <c r="F81" s="145"/>
    </row>
    <row r="82" spans="1:6" ht="19.5" customHeight="1" thickBot="1">
      <c r="A82" s="341" t="s">
        <v>37</v>
      </c>
      <c r="B82" s="342"/>
      <c r="C82" s="342"/>
      <c r="D82" s="342"/>
      <c r="E82" s="343"/>
      <c r="F82" s="140">
        <f>SUM(F69:F81)</f>
        <v>0</v>
      </c>
    </row>
    <row r="83" spans="1:6" ht="9.9" customHeight="1" thickTop="1" thickBot="1">
      <c r="A83" s="141"/>
      <c r="B83" s="141"/>
      <c r="C83" s="141"/>
      <c r="D83" s="141"/>
      <c r="E83" s="141"/>
      <c r="F83" s="141"/>
    </row>
    <row r="84" spans="1:6" ht="18" customHeight="1" thickTop="1" thickBot="1">
      <c r="A84" s="159" t="s">
        <v>36</v>
      </c>
      <c r="B84" s="323" t="s">
        <v>22</v>
      </c>
      <c r="C84" s="348"/>
      <c r="D84" s="348"/>
      <c r="E84" s="348"/>
      <c r="F84" s="349"/>
    </row>
    <row r="85" spans="1:6" ht="27" thickTop="1">
      <c r="A85" s="177" t="s">
        <v>33</v>
      </c>
      <c r="B85" s="176" t="s">
        <v>83</v>
      </c>
      <c r="C85" s="175"/>
      <c r="D85" s="174"/>
      <c r="E85" s="173"/>
      <c r="F85" s="154"/>
    </row>
    <row r="86" spans="1:6">
      <c r="A86" s="172"/>
      <c r="B86" s="171" t="s">
        <v>31</v>
      </c>
      <c r="C86" s="170" t="s">
        <v>13</v>
      </c>
      <c r="D86" s="169">
        <f>0.67*2+2.5*1.5*2</f>
        <v>8.84</v>
      </c>
      <c r="E86" s="168"/>
      <c r="F86" s="128">
        <f>D86*E86</f>
        <v>0</v>
      </c>
    </row>
    <row r="87" spans="1:6" ht="9.9" customHeight="1">
      <c r="A87" s="139"/>
      <c r="B87" s="139"/>
      <c r="C87" s="139"/>
      <c r="D87" s="139"/>
      <c r="E87" s="139"/>
      <c r="F87" s="139"/>
    </row>
    <row r="88" spans="1:6" ht="20.100000000000001" customHeight="1" thickBot="1">
      <c r="A88" s="341" t="s">
        <v>38</v>
      </c>
      <c r="B88" s="342"/>
      <c r="C88" s="342"/>
      <c r="D88" s="342"/>
      <c r="E88" s="343"/>
      <c r="F88" s="140">
        <f>SUM(F86:F87)</f>
        <v>0</v>
      </c>
    </row>
    <row r="89" spans="1:6" ht="9.9" customHeight="1" thickTop="1"/>
    <row r="91" spans="1:6" ht="39.75" customHeight="1">
      <c r="A91" s="344" t="s">
        <v>337</v>
      </c>
      <c r="B91" s="344"/>
      <c r="C91" s="344"/>
      <c r="D91" s="344"/>
      <c r="E91" s="344"/>
      <c r="F91" s="344"/>
    </row>
    <row r="92" spans="1:6" ht="13.8" thickBot="1"/>
    <row r="93" spans="1:6" ht="16.8" thickTop="1" thickBot="1">
      <c r="A93" s="350" t="s">
        <v>40</v>
      </c>
      <c r="B93" s="351"/>
      <c r="C93" s="351"/>
      <c r="D93" s="351"/>
      <c r="E93" s="351"/>
      <c r="F93" s="352"/>
    </row>
    <row r="94" spans="1:6" ht="14.4" thickTop="1" thickBot="1"/>
    <row r="95" spans="1:6" ht="20.25" customHeight="1" thickTop="1" thickBot="1">
      <c r="A95" s="159" t="s">
        <v>23</v>
      </c>
      <c r="B95" s="160" t="s">
        <v>24</v>
      </c>
      <c r="C95" s="161"/>
      <c r="D95" s="161"/>
      <c r="E95" s="161"/>
      <c r="F95" s="156"/>
    </row>
    <row r="96" spans="1:6" ht="20.100000000000001" customHeight="1" thickTop="1" thickBot="1">
      <c r="A96" s="159" t="str">
        <f>A9</f>
        <v>01.01.00.</v>
      </c>
      <c r="B96" s="323" t="str">
        <f>B9</f>
        <v>ДЕМОНТАЖНИ РАДОВИ</v>
      </c>
      <c r="C96" s="324"/>
      <c r="D96" s="324"/>
      <c r="E96" s="325"/>
      <c r="F96" s="157">
        <f>F20</f>
        <v>0</v>
      </c>
    </row>
    <row r="97" spans="1:6" ht="20.100000000000001" customHeight="1" thickTop="1" thickBot="1">
      <c r="A97" s="159" t="str">
        <f>A22</f>
        <v>01.02.00.</v>
      </c>
      <c r="B97" s="163" t="str">
        <f>B22</f>
        <v>ЗИДАРСКИ РАДОВИ</v>
      </c>
      <c r="C97" s="164"/>
      <c r="D97" s="164"/>
      <c r="E97" s="165"/>
      <c r="F97" s="157">
        <f>F32</f>
        <v>0</v>
      </c>
    </row>
    <row r="98" spans="1:6" ht="20.100000000000001" customHeight="1" thickTop="1" thickBot="1">
      <c r="A98" s="159" t="str">
        <f>A34</f>
        <v>01.03.00.</v>
      </c>
      <c r="B98" s="323" t="str">
        <f>B34</f>
        <v>БРАВАРСКИ РАДОВИ</v>
      </c>
      <c r="C98" s="324"/>
      <c r="D98" s="324"/>
      <c r="E98" s="325"/>
      <c r="F98" s="157">
        <f>F55</f>
        <v>0</v>
      </c>
    </row>
    <row r="99" spans="1:6" ht="20.100000000000001" customHeight="1" thickTop="1" thickBot="1">
      <c r="A99" s="159" t="str">
        <f>A57</f>
        <v>01.04.00.</v>
      </c>
      <c r="B99" s="163" t="str">
        <f>B57</f>
        <v>ПВЦ СТОЛАРИЈА</v>
      </c>
      <c r="C99" s="164"/>
      <c r="D99" s="164"/>
      <c r="E99" s="165"/>
      <c r="F99" s="157">
        <f>F65</f>
        <v>0</v>
      </c>
    </row>
    <row r="100" spans="1:6" ht="20.100000000000001" customHeight="1" thickTop="1" thickBot="1">
      <c r="A100" s="159" t="str">
        <f>A67</f>
        <v>01.05.00.</v>
      </c>
      <c r="B100" s="163" t="str">
        <f>B67</f>
        <v>МОЛЕРСКО ФАРБАРСКИ РАДОВИ</v>
      </c>
      <c r="C100" s="164"/>
      <c r="D100" s="164"/>
      <c r="E100" s="165"/>
      <c r="F100" s="157">
        <f>F82</f>
        <v>0</v>
      </c>
    </row>
    <row r="101" spans="1:6" ht="20.100000000000001" customHeight="1" thickTop="1" thickBot="1">
      <c r="A101" s="166" t="str">
        <f>A84</f>
        <v>01.06.00.</v>
      </c>
      <c r="B101" s="163" t="str">
        <f>B84</f>
        <v>РАЗНИ РАДОВИ</v>
      </c>
      <c r="C101" s="164"/>
      <c r="D101" s="164"/>
      <c r="E101" s="165"/>
      <c r="F101" s="158">
        <f>F88</f>
        <v>0</v>
      </c>
    </row>
    <row r="102" spans="1:6" ht="20.100000000000001" customHeight="1" thickTop="1" thickBot="1">
      <c r="A102" s="166"/>
      <c r="B102" s="164"/>
      <c r="C102" s="164"/>
      <c r="D102" s="346" t="s">
        <v>41</v>
      </c>
      <c r="E102" s="347"/>
      <c r="F102" s="158">
        <f>SUM(F96:F101)</f>
        <v>0</v>
      </c>
    </row>
    <row r="103" spans="1:6" ht="13.8" thickTop="1"/>
  </sheetData>
  <sheetProtection algorithmName="SHA-512" hashValue="wmsUccRdO0kF9w7zvKa3atIv1Btx1zmf1lrIMR5FqwOMNxTLx1gvcjI3rCfTzjKqHZjwhysh3WTEOlr8fJg6Tg==" saltValue="2ldzw+cXdXDcqR3GcLz6mg==" spinCount="100000" sheet="1" formatCells="0" formatColumns="0" formatRows="0" insertColumns="0" insertRows="0" insertHyperlinks="0" deleteColumns="0" deleteRows="0" sort="0" autoFilter="0" pivotTables="0"/>
  <protectedRanges>
    <protectedRange sqref="E1:E1048576" name="Range1"/>
  </protectedRanges>
  <mergeCells count="23">
    <mergeCell ref="D102:E102"/>
    <mergeCell ref="A20:E20"/>
    <mergeCell ref="B98:E98"/>
    <mergeCell ref="A2:F2"/>
    <mergeCell ref="B9:F9"/>
    <mergeCell ref="A6:A7"/>
    <mergeCell ref="B6:B7"/>
    <mergeCell ref="C6:C7"/>
    <mergeCell ref="A3:F3"/>
    <mergeCell ref="A4:F4"/>
    <mergeCell ref="B96:E96"/>
    <mergeCell ref="B57:F57"/>
    <mergeCell ref="A82:E82"/>
    <mergeCell ref="B84:F84"/>
    <mergeCell ref="A65:E65"/>
    <mergeCell ref="B67:F67"/>
    <mergeCell ref="B22:F22"/>
    <mergeCell ref="A88:E88"/>
    <mergeCell ref="A93:F93"/>
    <mergeCell ref="B34:F34"/>
    <mergeCell ref="A55:E55"/>
    <mergeCell ref="A91:F91"/>
    <mergeCell ref="A32:E32"/>
  </mergeCells>
  <pageMargins left="0.90551181102362199" right="0.196850393700787" top="0.39370078740157499" bottom="0.39370078740157499" header="0" footer="0.196850393700787"/>
  <pageSetup paperSize="9" orientation="portrait" r:id="rId1"/>
  <headerFooter>
    <oddFooter xml:space="preserve">&amp;R&amp;"Arial,Regular"&amp;9Страна  &amp;"Arial,Bold"&amp;P&amp;"Arial,Regular"  од  &amp;N  </oddFooter>
  </headerFooter>
  <rowBreaks count="7" manualBreakCount="7">
    <brk id="20" max="16383" man="1"/>
    <brk id="32" max="16383" man="1"/>
    <brk id="42" max="16383" man="1"/>
    <brk id="55" max="16383" man="1"/>
    <brk id="65" max="16383" man="1"/>
    <brk id="82" max="16383" man="1"/>
    <brk id="8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19</vt:i4>
      </vt:variant>
    </vt:vector>
  </HeadingPairs>
  <TitlesOfParts>
    <vt:vector size="29" baseType="lpstr">
      <vt:lpstr>LIFT 1</vt:lpstr>
      <vt:lpstr>LIFT 2</vt:lpstr>
      <vt:lpstr>LIFT 3</vt:lpstr>
      <vt:lpstr>LIFT 4</vt:lpstr>
      <vt:lpstr>LIFT 5</vt:lpstr>
      <vt:lpstr>LIFT 6</vt:lpstr>
      <vt:lpstr>LIFT 7</vt:lpstr>
      <vt:lpstr>LIFT 8</vt:lpstr>
      <vt:lpstr>LIFT 9</vt:lpstr>
      <vt:lpstr>збирна нова</vt:lpstr>
      <vt:lpstr>'LIFT 1'!Print_Area</vt:lpstr>
      <vt:lpstr>'LIFT 2'!Print_Area</vt:lpstr>
      <vt:lpstr>'LIFT 3'!Print_Area</vt:lpstr>
      <vt:lpstr>'LIFT 4'!Print_Area</vt:lpstr>
      <vt:lpstr>'LIFT 5'!Print_Area</vt:lpstr>
      <vt:lpstr>'LIFT 6'!Print_Area</vt:lpstr>
      <vt:lpstr>'LIFT 7'!Print_Area</vt:lpstr>
      <vt:lpstr>'LIFT 8'!Print_Area</vt:lpstr>
      <vt:lpstr>'LIFT 9'!Print_Area</vt:lpstr>
      <vt:lpstr>'збирна нова'!Print_Area</vt:lpstr>
      <vt:lpstr>'LIFT 1'!Print_Titles</vt:lpstr>
      <vt:lpstr>'LIFT 2'!Print_Titles</vt:lpstr>
      <vt:lpstr>'LIFT 3'!Print_Titles</vt:lpstr>
      <vt:lpstr>'LIFT 4'!Print_Titles</vt:lpstr>
      <vt:lpstr>'LIFT 5'!Print_Titles</vt:lpstr>
      <vt:lpstr>'LIFT 6'!Print_Titles</vt:lpstr>
      <vt:lpstr>'LIFT 7'!Print_Titles</vt:lpstr>
      <vt:lpstr>'LIFT 8'!Print_Titles</vt:lpstr>
      <vt:lpstr>'LIFT 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predmer instalacija</dc:title>
  <dc:creator>Kisic Snezana</dc:creator>
  <cp:lastModifiedBy>Željko Žugić</cp:lastModifiedBy>
  <cp:lastPrinted>2019-12-26T11:38:46Z</cp:lastPrinted>
  <dcterms:created xsi:type="dcterms:W3CDTF">1996-12-26T11:58:47Z</dcterms:created>
  <dcterms:modified xsi:type="dcterms:W3CDTF">2020-04-08T12:41:06Z</dcterms:modified>
</cp:coreProperties>
</file>